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Y:\各課保存文書\04税務課\02-02　住民税担当\ホームページ\R8\国保試算\"/>
    </mc:Choice>
  </mc:AlternateContent>
  <xr:revisionPtr revIDLastSave="0" documentId="13_ncr:1_{5BCEDA4F-1352-4E65-8D8B-F5A9511F422F}" xr6:coauthVersionLast="47" xr6:coauthVersionMax="47" xr10:uidLastSave="{00000000-0000-0000-0000-000000000000}"/>
  <workbookProtection workbookAlgorithmName="SHA-512" workbookHashValue="/xRGfVW6HQcJIDSjexsInXyrD+EgepAYczWvUvvADKPLyLej+INmw43p0rt45/qe+kMmIkzZGemu4U/jFmtkMQ==" workbookSaltValue="vHBBiJZKjvWpiDiOEvG9yw==" workbookSpinCount="100000" lockStructure="1"/>
  <bookViews>
    <workbookView xWindow="-120" yWindow="-120" windowWidth="20730" windowHeight="11040" tabRatio="812" xr2:uid="{00000000-000D-0000-FFFF-FFFF00000000}"/>
  </bookViews>
  <sheets>
    <sheet name="入力用" sheetId="1" r:id="rId1"/>
    <sheet name="軽減判定" sheetId="10" state="hidden" r:id="rId2"/>
    <sheet name="税額計算" sheetId="7" state="hidden" r:id="rId3"/>
    <sheet name="振分期別表" sheetId="8" state="hidden" r:id="rId4"/>
    <sheet name="給与所得計算" sheetId="2" state="hidden" r:id="rId5"/>
    <sheet name="年金所得計算" sheetId="4" state="hidden" r:id="rId6"/>
    <sheet name="基礎控除計算" sheetId="6" state="hidden" r:id="rId7"/>
  </sheets>
  <definedNames>
    <definedName name="H28年度課税確認対象者" localSheetId="6">#REF!</definedName>
    <definedName name="H28年度課税確認対象者" localSheetId="1">#REF!</definedName>
    <definedName name="H28年度課税確認対象者" localSheetId="5">#REF!</definedName>
    <definedName name="H28年度課税確認対象者">#REF!</definedName>
    <definedName name="_xlnm.Print_Area" localSheetId="1">軽減判定!$E$1:$AG$39</definedName>
    <definedName name="_xlnm.Print_Area" localSheetId="0">入力用!$E$1:$AH$39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8" i="10" l="1"/>
  <c r="H9" i="10"/>
  <c r="H10" i="10"/>
  <c r="H11" i="10"/>
  <c r="H12" i="10"/>
  <c r="E59" i="7"/>
  <c r="F59" i="7" s="1"/>
  <c r="E63" i="7"/>
  <c r="F63" i="7" s="1"/>
  <c r="E18" i="7"/>
  <c r="E19" i="7"/>
  <c r="E60" i="7" s="1"/>
  <c r="F60" i="7" s="1"/>
  <c r="E20" i="7"/>
  <c r="E61" i="7" s="1"/>
  <c r="F61" i="7" s="1"/>
  <c r="E21" i="7"/>
  <c r="E62" i="7" s="1"/>
  <c r="F62" i="7" s="1"/>
  <c r="E22" i="7"/>
  <c r="E23" i="7"/>
  <c r="E64" i="7" s="1"/>
  <c r="F64" i="7" s="1"/>
  <c r="K6" i="2" l="1"/>
  <c r="D6" i="2"/>
  <c r="N25" i="10"/>
  <c r="N24" i="10"/>
  <c r="N23" i="10"/>
  <c r="H50" i="7"/>
  <c r="X9" i="10" l="1"/>
  <c r="X10" i="10"/>
  <c r="X11" i="10"/>
  <c r="X12" i="10"/>
  <c r="X13" i="10"/>
  <c r="X14" i="10"/>
  <c r="X15" i="10"/>
  <c r="X16" i="10"/>
  <c r="X17" i="10"/>
  <c r="X18" i="10"/>
  <c r="X8" i="10"/>
  <c r="D14" i="7" l="1"/>
  <c r="E14" i="7" s="1"/>
  <c r="L30" i="10" l="1"/>
  <c r="L29" i="10"/>
  <c r="H30" i="10"/>
  <c r="H29" i="10"/>
  <c r="H18" i="10" l="1"/>
  <c r="U4" i="4"/>
  <c r="U4" i="2"/>
  <c r="Y21" i="10"/>
  <c r="U21" i="4"/>
  <c r="T21" i="4"/>
  <c r="U6" i="4"/>
  <c r="U6" i="2"/>
  <c r="T6" i="2"/>
  <c r="L22" i="10" l="1"/>
  <c r="L23" i="10" s="1"/>
  <c r="J22" i="10"/>
  <c r="J25" i="10" s="1"/>
  <c r="H22" i="10"/>
  <c r="H24" i="10" l="1"/>
  <c r="P22" i="10"/>
  <c r="J24" i="10"/>
  <c r="H25" i="10"/>
  <c r="P25" i="10" s="1"/>
  <c r="H23" i="10"/>
  <c r="L25" i="10"/>
  <c r="J23" i="10"/>
  <c r="L24" i="10"/>
  <c r="H13" i="10"/>
  <c r="H14" i="10"/>
  <c r="H15" i="10"/>
  <c r="H16" i="10"/>
  <c r="H17" i="10"/>
  <c r="W2" i="10"/>
  <c r="P23" i="10" l="1"/>
  <c r="P24" i="10"/>
  <c r="Y2" i="10"/>
  <c r="AD4" i="10"/>
  <c r="U2" i="1"/>
  <c r="V37" i="1" l="1"/>
  <c r="AC17" i="1" l="1"/>
  <c r="AC16" i="1"/>
  <c r="AC15" i="1"/>
  <c r="AC14" i="1"/>
  <c r="AC13" i="1"/>
  <c r="AC12" i="1"/>
  <c r="R38" i="1" l="1"/>
  <c r="J26" i="1" l="1"/>
  <c r="L24" i="1" l="1"/>
  <c r="D15" i="7" l="1"/>
  <c r="E15" i="7" s="1"/>
  <c r="D16" i="7"/>
  <c r="E16" i="7" s="1"/>
  <c r="D17" i="7"/>
  <c r="E17" i="7" s="1"/>
  <c r="D18" i="7"/>
  <c r="D19" i="7"/>
  <c r="D20" i="7"/>
  <c r="D21" i="7"/>
  <c r="D22" i="7"/>
  <c r="D23" i="7"/>
  <c r="P9" i="6"/>
  <c r="L9" i="6"/>
  <c r="M9" i="6"/>
  <c r="N9" i="6"/>
  <c r="O9" i="6"/>
  <c r="P21" i="4"/>
  <c r="Q21" i="4"/>
  <c r="R21" i="4"/>
  <c r="S21" i="4"/>
  <c r="T6" i="4"/>
  <c r="S6" i="4"/>
  <c r="R6" i="4"/>
  <c r="Q6" i="4"/>
  <c r="P6" i="4"/>
  <c r="T4" i="4"/>
  <c r="S4" i="4"/>
  <c r="R4" i="4"/>
  <c r="Q4" i="4"/>
  <c r="P4" i="4"/>
  <c r="P6" i="2"/>
  <c r="Q6" i="2"/>
  <c r="R6" i="2"/>
  <c r="S6" i="2"/>
  <c r="T4" i="2"/>
  <c r="S4" i="2"/>
  <c r="R4" i="2"/>
  <c r="Q4" i="2"/>
  <c r="P4" i="2"/>
  <c r="D33" i="7" l="1"/>
  <c r="D46" i="7" s="1"/>
  <c r="D61" i="7" s="1"/>
  <c r="D29" i="7"/>
  <c r="D42" i="7" s="1"/>
  <c r="D57" i="7" s="1"/>
  <c r="E57" i="7" s="1"/>
  <c r="D35" i="7"/>
  <c r="D48" i="7" s="1"/>
  <c r="D63" i="7" s="1"/>
  <c r="D31" i="7"/>
  <c r="D44" i="7" s="1"/>
  <c r="D59" i="7" s="1"/>
  <c r="D34" i="7"/>
  <c r="D47" i="7" s="1"/>
  <c r="D62" i="7" s="1"/>
  <c r="D32" i="7"/>
  <c r="D45" i="7" s="1"/>
  <c r="D60" i="7" s="1"/>
  <c r="D28" i="7"/>
  <c r="D41" i="7" s="1"/>
  <c r="D56" i="7" s="1"/>
  <c r="E56" i="7" s="1"/>
  <c r="D27" i="7"/>
  <c r="D40" i="7" s="1"/>
  <c r="D55" i="7" s="1"/>
  <c r="E55" i="7" s="1"/>
  <c r="D30" i="7"/>
  <c r="D43" i="7" s="1"/>
  <c r="D58" i="7" s="1"/>
  <c r="E58" i="7" s="1"/>
  <c r="D36" i="7"/>
  <c r="D49" i="7" s="1"/>
  <c r="D64" i="7" s="1"/>
  <c r="B4" i="7"/>
  <c r="D3" i="6"/>
  <c r="D3" i="4"/>
  <c r="F6" i="4" s="1"/>
  <c r="C3" i="2"/>
  <c r="B87" i="7" l="1"/>
  <c r="B75" i="7"/>
  <c r="U8" i="4"/>
  <c r="U14" i="4"/>
  <c r="U15" i="4"/>
  <c r="U16" i="4"/>
  <c r="U17" i="4"/>
  <c r="U13" i="4"/>
  <c r="S13" i="4"/>
  <c r="R8" i="4"/>
  <c r="S17" i="4"/>
  <c r="R16" i="4"/>
  <c r="S15" i="4"/>
  <c r="P17" i="4"/>
  <c r="Q17" i="4"/>
  <c r="S8" i="4"/>
  <c r="Q14" i="4"/>
  <c r="R15" i="4"/>
  <c r="T14" i="4"/>
  <c r="T16" i="4"/>
  <c r="P16" i="4"/>
  <c r="S14" i="4"/>
  <c r="T8" i="4"/>
  <c r="Q16" i="4"/>
  <c r="R13" i="4"/>
  <c r="Q13" i="4"/>
  <c r="Q15" i="4"/>
  <c r="R14" i="4"/>
  <c r="P15" i="4"/>
  <c r="P13" i="4"/>
  <c r="Q8" i="4"/>
  <c r="R17" i="4"/>
  <c r="P8" i="4"/>
  <c r="T17" i="4"/>
  <c r="T13" i="4"/>
  <c r="T15" i="4"/>
  <c r="P14" i="4"/>
  <c r="S16" i="4"/>
  <c r="B84" i="7"/>
  <c r="B72" i="7"/>
  <c r="B81" i="7"/>
  <c r="B78" i="7"/>
  <c r="J17" i="7" l="1"/>
  <c r="J20" i="7"/>
  <c r="J21" i="7"/>
  <c r="K9" i="6"/>
  <c r="H9" i="6"/>
  <c r="I9" i="6"/>
  <c r="J9" i="6"/>
  <c r="G9" i="6"/>
  <c r="C9" i="6"/>
  <c r="C8" i="6"/>
  <c r="C7" i="6"/>
  <c r="G61" i="7" l="1"/>
  <c r="J19" i="7"/>
  <c r="G60" i="7"/>
  <c r="J18" i="7"/>
  <c r="G59" i="7"/>
  <c r="J16" i="7"/>
  <c r="J23" i="7"/>
  <c r="G64" i="7"/>
  <c r="J22" i="7"/>
  <c r="G63" i="7"/>
  <c r="G62" i="7"/>
  <c r="J55" i="7"/>
  <c r="J14" i="7"/>
  <c r="J15" i="7"/>
  <c r="E27" i="7"/>
  <c r="E32" i="7"/>
  <c r="H19" i="7"/>
  <c r="E31" i="7"/>
  <c r="H18" i="7"/>
  <c r="E36" i="7"/>
  <c r="H23" i="7"/>
  <c r="E34" i="7"/>
  <c r="H21" i="7"/>
  <c r="E33" i="7"/>
  <c r="H20" i="7"/>
  <c r="E29" i="7"/>
  <c r="E30" i="7"/>
  <c r="E35" i="7"/>
  <c r="H22" i="7"/>
  <c r="E28" i="7"/>
  <c r="O21" i="4"/>
  <c r="L21" i="4"/>
  <c r="M21" i="4"/>
  <c r="N21" i="4"/>
  <c r="K6" i="4"/>
  <c r="K4" i="4"/>
  <c r="K21" i="4"/>
  <c r="C23" i="4"/>
  <c r="C22" i="4"/>
  <c r="L4" i="4"/>
  <c r="E16" i="4"/>
  <c r="E15" i="4"/>
  <c r="E14" i="4"/>
  <c r="E13" i="4"/>
  <c r="O6" i="4"/>
  <c r="N6" i="4"/>
  <c r="M6" i="4"/>
  <c r="L6" i="4"/>
  <c r="J24" i="7" l="1"/>
  <c r="J37" i="7" s="1"/>
  <c r="M37" i="7" s="1"/>
  <c r="J56" i="7"/>
  <c r="J59" i="7"/>
  <c r="H59" i="7"/>
  <c r="J62" i="7"/>
  <c r="H62" i="7"/>
  <c r="J63" i="7"/>
  <c r="O63" i="7" s="1"/>
  <c r="H63" i="7"/>
  <c r="I63" i="7" s="1"/>
  <c r="J58" i="7"/>
  <c r="J64" i="7"/>
  <c r="O64" i="7" s="1"/>
  <c r="H64" i="7"/>
  <c r="I64" i="7" s="1"/>
  <c r="J57" i="7"/>
  <c r="J60" i="7"/>
  <c r="H60" i="7"/>
  <c r="J61" i="7"/>
  <c r="H61" i="7"/>
  <c r="M13" i="4"/>
  <c r="K8" i="4"/>
  <c r="E42" i="7"/>
  <c r="E43" i="7"/>
  <c r="E46" i="7"/>
  <c r="H33" i="7"/>
  <c r="E49" i="7"/>
  <c r="H36" i="7"/>
  <c r="E44" i="7"/>
  <c r="H31" i="7"/>
  <c r="E41" i="7"/>
  <c r="J41" i="7" s="1"/>
  <c r="E40" i="7"/>
  <c r="E48" i="7"/>
  <c r="H35" i="7"/>
  <c r="E47" i="7"/>
  <c r="H34" i="7"/>
  <c r="E45" i="7"/>
  <c r="H32" i="7"/>
  <c r="L14" i="4"/>
  <c r="L15" i="4"/>
  <c r="L16" i="4"/>
  <c r="K14" i="4"/>
  <c r="K15" i="4"/>
  <c r="K16" i="4"/>
  <c r="J32" i="7"/>
  <c r="J35" i="7"/>
  <c r="J30" i="7"/>
  <c r="J33" i="7"/>
  <c r="J34" i="7"/>
  <c r="J29" i="7"/>
  <c r="J28" i="7"/>
  <c r="J36" i="7"/>
  <c r="J31" i="7"/>
  <c r="J27" i="7"/>
  <c r="L8" i="4"/>
  <c r="L13" i="4"/>
  <c r="L17" i="4"/>
  <c r="K13" i="4"/>
  <c r="M24" i="7" l="1"/>
  <c r="Q63" i="7"/>
  <c r="Q64" i="7"/>
  <c r="L64" i="7"/>
  <c r="L63" i="7"/>
  <c r="J49" i="7"/>
  <c r="H49" i="7"/>
  <c r="J40" i="7"/>
  <c r="J43" i="7"/>
  <c r="H43" i="7"/>
  <c r="J47" i="7"/>
  <c r="H47" i="7"/>
  <c r="J45" i="7"/>
  <c r="H45" i="7"/>
  <c r="J48" i="7"/>
  <c r="H48" i="7"/>
  <c r="J44" i="7"/>
  <c r="H44" i="7"/>
  <c r="H46" i="7"/>
  <c r="J46" i="7"/>
  <c r="J42" i="7"/>
  <c r="O4" i="4"/>
  <c r="N4" i="4"/>
  <c r="M4" i="4"/>
  <c r="O6" i="2"/>
  <c r="N6" i="2"/>
  <c r="M6" i="2"/>
  <c r="L6" i="2"/>
  <c r="O4" i="2"/>
  <c r="N4" i="2"/>
  <c r="M4" i="2"/>
  <c r="L4" i="2"/>
  <c r="K4" i="2"/>
  <c r="K7" i="2" l="1"/>
  <c r="M8" i="4"/>
  <c r="J50" i="7"/>
  <c r="M50" i="7" s="1"/>
  <c r="F21" i="7"/>
  <c r="G21" i="7" s="1"/>
  <c r="I21" i="7" s="1"/>
  <c r="L21" i="7" s="1"/>
  <c r="F47" i="7"/>
  <c r="G47" i="7" s="1"/>
  <c r="F48" i="7"/>
  <c r="G48" i="7" s="1"/>
  <c r="F22" i="7"/>
  <c r="F49" i="7"/>
  <c r="G49" i="7" s="1"/>
  <c r="F23" i="7"/>
  <c r="O16" i="4"/>
  <c r="O15" i="4"/>
  <c r="O14" i="4"/>
  <c r="N14" i="4"/>
  <c r="N15" i="4"/>
  <c r="N16" i="4"/>
  <c r="M14" i="4"/>
  <c r="M15" i="4"/>
  <c r="M16" i="4"/>
  <c r="N17" i="4"/>
  <c r="N13" i="4"/>
  <c r="M17" i="4"/>
  <c r="O17" i="4"/>
  <c r="O13" i="4"/>
  <c r="N8" i="4"/>
  <c r="O8" i="4"/>
  <c r="K17" i="4"/>
  <c r="J65" i="7" l="1"/>
  <c r="M65" i="7" s="1"/>
  <c r="I62" i="7"/>
  <c r="L62" i="7" s="1"/>
  <c r="O62" i="7"/>
  <c r="Q62" i="7" s="1"/>
  <c r="I60" i="7"/>
  <c r="L60" i="7" s="1"/>
  <c r="O60" i="7"/>
  <c r="Q60" i="7" s="1"/>
  <c r="I61" i="7"/>
  <c r="L61" i="7" s="1"/>
  <c r="O61" i="7"/>
  <c r="Q61" i="7" s="1"/>
  <c r="I59" i="7"/>
  <c r="L59" i="7" s="1"/>
  <c r="O59" i="7"/>
  <c r="Q59" i="7" s="1"/>
  <c r="F34" i="7"/>
  <c r="G34" i="7" s="1"/>
  <c r="I34" i="7" s="1"/>
  <c r="L34" i="7" s="1"/>
  <c r="F20" i="7"/>
  <c r="F33" i="7" s="1"/>
  <c r="G33" i="7" s="1"/>
  <c r="F46" i="7"/>
  <c r="G46" i="7" s="1"/>
  <c r="I48" i="7"/>
  <c r="L48" i="7" s="1"/>
  <c r="O48" i="7"/>
  <c r="Q48" i="7" s="1"/>
  <c r="F36" i="7"/>
  <c r="G36" i="7" s="1"/>
  <c r="G23" i="7"/>
  <c r="I23" i="7" s="1"/>
  <c r="L23" i="7" s="1"/>
  <c r="I47" i="7"/>
  <c r="L47" i="7" s="1"/>
  <c r="O47" i="7"/>
  <c r="Q47" i="7" s="1"/>
  <c r="I49" i="7"/>
  <c r="L49" i="7" s="1"/>
  <c r="O49" i="7"/>
  <c r="Q49" i="7" s="1"/>
  <c r="F35" i="7"/>
  <c r="G35" i="7" s="1"/>
  <c r="G22" i="7"/>
  <c r="I22" i="7" s="1"/>
  <c r="L22" i="7" s="1"/>
  <c r="O21" i="7"/>
  <c r="E11" i="4"/>
  <c r="U12" i="4" s="1"/>
  <c r="E10" i="4"/>
  <c r="U11" i="4" s="1"/>
  <c r="E9" i="4"/>
  <c r="E8" i="4"/>
  <c r="U9" i="4" s="1"/>
  <c r="U10" i="4" l="1"/>
  <c r="M10" i="4"/>
  <c r="S10" i="4"/>
  <c r="T10" i="4"/>
  <c r="Q10" i="4"/>
  <c r="P10" i="4"/>
  <c r="R10" i="4"/>
  <c r="L10" i="4"/>
  <c r="K10" i="4"/>
  <c r="N10" i="4"/>
  <c r="O10" i="4"/>
  <c r="Q11" i="4"/>
  <c r="S11" i="4"/>
  <c r="P11" i="4"/>
  <c r="R11" i="4"/>
  <c r="T11" i="4"/>
  <c r="K11" i="4"/>
  <c r="L11" i="4"/>
  <c r="N11" i="4"/>
  <c r="M11" i="4"/>
  <c r="O11" i="4"/>
  <c r="S12" i="4"/>
  <c r="T12" i="4"/>
  <c r="Q12" i="4"/>
  <c r="R12" i="4"/>
  <c r="P12" i="4"/>
  <c r="L12" i="4"/>
  <c r="K12" i="4"/>
  <c r="S9" i="4"/>
  <c r="P9" i="4"/>
  <c r="T9" i="4"/>
  <c r="Q9" i="4"/>
  <c r="R9" i="4"/>
  <c r="L9" i="4"/>
  <c r="K9" i="4"/>
  <c r="N9" i="4"/>
  <c r="O9" i="4"/>
  <c r="M9" i="4"/>
  <c r="G20" i="7"/>
  <c r="I20" i="7" s="1"/>
  <c r="L20" i="7" s="1"/>
  <c r="O34" i="7"/>
  <c r="Q34" i="7" s="1"/>
  <c r="O23" i="7"/>
  <c r="O22" i="7"/>
  <c r="F19" i="7"/>
  <c r="G19" i="7" s="1"/>
  <c r="I19" i="7" s="1"/>
  <c r="L19" i="7" s="1"/>
  <c r="F45" i="7"/>
  <c r="G45" i="7" s="1"/>
  <c r="I35" i="7"/>
  <c r="L35" i="7" s="1"/>
  <c r="O35" i="7"/>
  <c r="Q35" i="7" s="1"/>
  <c r="I46" i="7"/>
  <c r="L46" i="7" s="1"/>
  <c r="O46" i="7"/>
  <c r="Q46" i="7" s="1"/>
  <c r="O36" i="7"/>
  <c r="Q36" i="7" s="1"/>
  <c r="I36" i="7"/>
  <c r="L36" i="7" s="1"/>
  <c r="I33" i="7"/>
  <c r="L33" i="7" s="1"/>
  <c r="O33" i="7"/>
  <c r="Q33" i="7" s="1"/>
  <c r="N12" i="4"/>
  <c r="O12" i="4"/>
  <c r="M12" i="4"/>
  <c r="D10" i="2"/>
  <c r="D9" i="2"/>
  <c r="D8" i="2"/>
  <c r="D7" i="2"/>
  <c r="U7" i="2"/>
  <c r="U11" i="2" l="1"/>
  <c r="Q11" i="2"/>
  <c r="R11" i="2"/>
  <c r="P11" i="2"/>
  <c r="T11" i="2"/>
  <c r="S11" i="2"/>
  <c r="N11" i="2"/>
  <c r="K11" i="2"/>
  <c r="L11" i="2"/>
  <c r="M11" i="2"/>
  <c r="O11" i="2"/>
  <c r="U9" i="2"/>
  <c r="U12" i="2" s="1"/>
  <c r="J18" i="10" s="1"/>
  <c r="O18" i="10" s="1"/>
  <c r="S9" i="2"/>
  <c r="Q9" i="2"/>
  <c r="R9" i="2"/>
  <c r="P9" i="2"/>
  <c r="T9" i="2"/>
  <c r="O9" i="2"/>
  <c r="N9" i="2"/>
  <c r="K9" i="2"/>
  <c r="L9" i="2"/>
  <c r="M9" i="2"/>
  <c r="U8" i="2"/>
  <c r="S8" i="2"/>
  <c r="Q8" i="2"/>
  <c r="R8" i="2"/>
  <c r="P8" i="2"/>
  <c r="T8" i="2"/>
  <c r="L8" i="2"/>
  <c r="M8" i="2"/>
  <c r="O8" i="2"/>
  <c r="N8" i="2"/>
  <c r="K8" i="2"/>
  <c r="U10" i="2"/>
  <c r="Q10" i="2"/>
  <c r="R10" i="2"/>
  <c r="P10" i="2"/>
  <c r="T10" i="2"/>
  <c r="S10" i="2"/>
  <c r="O10" i="2"/>
  <c r="N10" i="2"/>
  <c r="K10" i="2"/>
  <c r="L10" i="2"/>
  <c r="M10" i="2"/>
  <c r="R7" i="2"/>
  <c r="S7" i="2"/>
  <c r="Q7" i="2"/>
  <c r="P7" i="2"/>
  <c r="T7" i="2"/>
  <c r="O20" i="7"/>
  <c r="F32" i="7"/>
  <c r="G32" i="7" s="1"/>
  <c r="O32" i="7" s="1"/>
  <c r="Q32" i="7" s="1"/>
  <c r="I45" i="7"/>
  <c r="L45" i="7" s="1"/>
  <c r="O45" i="7"/>
  <c r="Q45" i="7" s="1"/>
  <c r="O19" i="7"/>
  <c r="M7" i="2"/>
  <c r="L7" i="2"/>
  <c r="N7" i="2"/>
  <c r="O7" i="2"/>
  <c r="L12" i="2" l="1"/>
  <c r="K12" i="2"/>
  <c r="S12" i="2"/>
  <c r="T12" i="2"/>
  <c r="R12" i="2"/>
  <c r="P12" i="2"/>
  <c r="Q12" i="2"/>
  <c r="I32" i="7"/>
  <c r="L32" i="7" s="1"/>
  <c r="N12" i="2"/>
  <c r="O12" i="2"/>
  <c r="M12" i="2"/>
  <c r="J8" i="10" l="1"/>
  <c r="O8" i="1"/>
  <c r="K5" i="4" s="1"/>
  <c r="K22" i="4" s="1"/>
  <c r="O13" i="1"/>
  <c r="J13" i="10"/>
  <c r="O13" i="10" s="1"/>
  <c r="O10" i="1"/>
  <c r="M5" i="4" s="1"/>
  <c r="M22" i="4" s="1"/>
  <c r="J10" i="10"/>
  <c r="O15" i="1"/>
  <c r="R5" i="4" s="1"/>
  <c r="R23" i="4" s="1"/>
  <c r="J15" i="10"/>
  <c r="O15" i="10" s="1"/>
  <c r="O17" i="1"/>
  <c r="O18" i="1"/>
  <c r="U5" i="4" s="1"/>
  <c r="J17" i="10"/>
  <c r="O17" i="10" s="1"/>
  <c r="O11" i="1"/>
  <c r="N5" i="4" s="1"/>
  <c r="N22" i="4" s="1"/>
  <c r="J11" i="10"/>
  <c r="O11" i="10" s="1"/>
  <c r="O12" i="1"/>
  <c r="O5" i="4" s="1"/>
  <c r="J12" i="10"/>
  <c r="O12" i="10" s="1"/>
  <c r="O14" i="1"/>
  <c r="Q5" i="4" s="1"/>
  <c r="J14" i="10"/>
  <c r="O14" i="10" s="1"/>
  <c r="O16" i="1"/>
  <c r="S5" i="4" s="1"/>
  <c r="S23" i="4" s="1"/>
  <c r="J16" i="10"/>
  <c r="O16" i="10" s="1"/>
  <c r="O9" i="1"/>
  <c r="J9" i="10"/>
  <c r="P5" i="4"/>
  <c r="R22" i="4" l="1"/>
  <c r="R24" i="4" s="1"/>
  <c r="S22" i="4"/>
  <c r="T5" i="4"/>
  <c r="Q22" i="4"/>
  <c r="Q23" i="4"/>
  <c r="S24" i="4"/>
  <c r="P23" i="4"/>
  <c r="P22" i="4"/>
  <c r="N23" i="4"/>
  <c r="N24" i="4" s="1"/>
  <c r="O23" i="4"/>
  <c r="O22" i="4"/>
  <c r="M23" i="4"/>
  <c r="M24" i="4" s="1"/>
  <c r="K23" i="4"/>
  <c r="K24" i="4" s="1"/>
  <c r="L5" i="4"/>
  <c r="L22" i="4" s="1"/>
  <c r="U23" i="4" l="1"/>
  <c r="U22" i="4"/>
  <c r="T22" i="4"/>
  <c r="T23" i="4"/>
  <c r="U8" i="1"/>
  <c r="AA8" i="1" s="1"/>
  <c r="Q8" i="10"/>
  <c r="U16" i="1"/>
  <c r="AA16" i="1" s="1"/>
  <c r="O4" i="6" s="1"/>
  <c r="O8" i="6" s="1"/>
  <c r="Q16" i="10"/>
  <c r="T16" i="10" s="1"/>
  <c r="U15" i="1"/>
  <c r="AA15" i="1" s="1"/>
  <c r="N4" i="6" s="1"/>
  <c r="N6" i="6" s="1"/>
  <c r="Q15" i="10"/>
  <c r="U11" i="1"/>
  <c r="AA11" i="1" s="1"/>
  <c r="Q11" i="10"/>
  <c r="T11" i="10" s="1"/>
  <c r="U10" i="1"/>
  <c r="AA10" i="1" s="1"/>
  <c r="Q10" i="10"/>
  <c r="T10" i="10" s="1"/>
  <c r="P24" i="4"/>
  <c r="Q24" i="4"/>
  <c r="O24" i="4"/>
  <c r="L23" i="4"/>
  <c r="L24" i="4" s="1"/>
  <c r="O6" i="6" l="1"/>
  <c r="O7" i="6"/>
  <c r="T8" i="10"/>
  <c r="V8" i="10" s="1"/>
  <c r="U24" i="4"/>
  <c r="U18" i="1" s="1"/>
  <c r="N7" i="6"/>
  <c r="T24" i="4"/>
  <c r="AD15" i="10"/>
  <c r="T15" i="10"/>
  <c r="V10" i="10"/>
  <c r="V16" i="10"/>
  <c r="AD16" i="10"/>
  <c r="V11" i="10"/>
  <c r="AD11" i="10"/>
  <c r="V15" i="10"/>
  <c r="M8" i="10"/>
  <c r="O8" i="10" s="1"/>
  <c r="AD8" i="10" s="1"/>
  <c r="M11" i="10"/>
  <c r="M10" i="10"/>
  <c r="O10" i="10" s="1"/>
  <c r="AD10" i="10" s="1"/>
  <c r="N8" i="6"/>
  <c r="U12" i="1"/>
  <c r="AA12" i="1" s="1"/>
  <c r="K4" i="6" s="1"/>
  <c r="K6" i="6" s="1"/>
  <c r="Q12" i="10"/>
  <c r="T12" i="10" s="1"/>
  <c r="U13" i="1"/>
  <c r="AA13" i="1" s="1"/>
  <c r="L4" i="6" s="1"/>
  <c r="L8" i="6" s="1"/>
  <c r="Q13" i="10"/>
  <c r="U9" i="1"/>
  <c r="AA9" i="1" s="1"/>
  <c r="H4" i="6" s="1"/>
  <c r="Q9" i="10"/>
  <c r="T9" i="10" s="1"/>
  <c r="U14" i="1"/>
  <c r="AA14" i="1" s="1"/>
  <c r="M4" i="6" s="1"/>
  <c r="M8" i="6" s="1"/>
  <c r="Q14" i="10"/>
  <c r="M15" i="10"/>
  <c r="AA15" i="10" s="1"/>
  <c r="M16" i="10"/>
  <c r="AA16" i="10" s="1"/>
  <c r="G4" i="6"/>
  <c r="G7" i="6" s="1"/>
  <c r="J4" i="6"/>
  <c r="J6" i="6" s="1"/>
  <c r="I4" i="6"/>
  <c r="O10" i="6" l="1"/>
  <c r="AE16" i="1" s="1"/>
  <c r="N10" i="6"/>
  <c r="AE15" i="1" s="1"/>
  <c r="AA8" i="10"/>
  <c r="K8" i="6"/>
  <c r="Q18" i="10"/>
  <c r="AA18" i="1"/>
  <c r="U17" i="1"/>
  <c r="AA17" i="1" s="1"/>
  <c r="P4" i="6" s="1"/>
  <c r="Q17" i="10"/>
  <c r="M17" i="10" s="1"/>
  <c r="AD14" i="10"/>
  <c r="T14" i="10"/>
  <c r="AD13" i="10"/>
  <c r="T13" i="10"/>
  <c r="V12" i="10"/>
  <c r="AD12" i="10"/>
  <c r="V9" i="10"/>
  <c r="V14" i="10"/>
  <c r="V13" i="10"/>
  <c r="AA10" i="10"/>
  <c r="AA11" i="10"/>
  <c r="K7" i="6"/>
  <c r="K10" i="6" s="1"/>
  <c r="AE12" i="1" s="1"/>
  <c r="L6" i="6"/>
  <c r="L7" i="6"/>
  <c r="M7" i="6"/>
  <c r="M13" i="10"/>
  <c r="M6" i="6"/>
  <c r="M14" i="10"/>
  <c r="M9" i="10"/>
  <c r="O9" i="10" s="1"/>
  <c r="AD9" i="10" s="1"/>
  <c r="AD21" i="10" s="1"/>
  <c r="M12" i="10"/>
  <c r="J8" i="6"/>
  <c r="J7" i="6"/>
  <c r="G8" i="6"/>
  <c r="G6" i="6"/>
  <c r="H8" i="6"/>
  <c r="H7" i="6"/>
  <c r="H6" i="6"/>
  <c r="I6" i="6"/>
  <c r="I8" i="6"/>
  <c r="I7" i="6"/>
  <c r="AD18" i="10" l="1"/>
  <c r="M18" i="10"/>
  <c r="AA14" i="10"/>
  <c r="T18" i="10"/>
  <c r="V18" i="10" s="1"/>
  <c r="T17" i="10"/>
  <c r="AD17" i="10"/>
  <c r="V17" i="10"/>
  <c r="M10" i="6"/>
  <c r="AE14" i="1" s="1"/>
  <c r="P8" i="6"/>
  <c r="P6" i="6"/>
  <c r="P7" i="6"/>
  <c r="AA13" i="10"/>
  <c r="AA12" i="10"/>
  <c r="AA9" i="10"/>
  <c r="L10" i="6"/>
  <c r="AE13" i="1" s="1"/>
  <c r="F18" i="7"/>
  <c r="G18" i="7" s="1"/>
  <c r="I18" i="7" s="1"/>
  <c r="L18" i="7" s="1"/>
  <c r="F44" i="7"/>
  <c r="G44" i="7" s="1"/>
  <c r="J10" i="6"/>
  <c r="G10" i="6"/>
  <c r="I10" i="6"/>
  <c r="AC10" i="1" s="1"/>
  <c r="H10" i="6"/>
  <c r="AA18" i="10" l="1"/>
  <c r="P10" i="6"/>
  <c r="AE17" i="1" s="1"/>
  <c r="AA17" i="10"/>
  <c r="AC8" i="1"/>
  <c r="AE8" i="1" s="1"/>
  <c r="AC11" i="1"/>
  <c r="AE11" i="1" s="1"/>
  <c r="F58" i="7" s="1"/>
  <c r="G58" i="7" s="1"/>
  <c r="AC9" i="1"/>
  <c r="AE9" i="1" s="1"/>
  <c r="F56" i="7" s="1"/>
  <c r="F31" i="7"/>
  <c r="G31" i="7" s="1"/>
  <c r="O31" i="7" s="1"/>
  <c r="Q31" i="7" s="1"/>
  <c r="I44" i="7"/>
  <c r="L44" i="7" s="1"/>
  <c r="O44" i="7"/>
  <c r="Q44" i="7" s="1"/>
  <c r="F43" i="7"/>
  <c r="O18" i="7"/>
  <c r="AE10" i="1"/>
  <c r="F55" i="7" l="1"/>
  <c r="G55" i="7" s="1"/>
  <c r="O55" i="7" s="1"/>
  <c r="F40" i="7"/>
  <c r="G40" i="7" s="1"/>
  <c r="F17" i="7"/>
  <c r="G17" i="7" s="1"/>
  <c r="O17" i="7" s="1"/>
  <c r="F57" i="7"/>
  <c r="F14" i="7"/>
  <c r="F15" i="7"/>
  <c r="G15" i="7" s="1"/>
  <c r="O15" i="7" s="1"/>
  <c r="AA21" i="10"/>
  <c r="F41" i="7"/>
  <c r="G41" i="7" s="1"/>
  <c r="O41" i="7" s="1"/>
  <c r="G43" i="7"/>
  <c r="O43" i="7" s="1"/>
  <c r="Q43" i="7" s="1"/>
  <c r="I31" i="7"/>
  <c r="L31" i="7" s="1"/>
  <c r="F16" i="7"/>
  <c r="G16" i="7" s="1"/>
  <c r="F42" i="7"/>
  <c r="G14" i="7" l="1"/>
  <c r="O14" i="7" s="1"/>
  <c r="G57" i="7"/>
  <c r="O57" i="7" s="1"/>
  <c r="Y27" i="10"/>
  <c r="J5" i="7" s="1"/>
  <c r="O58" i="7"/>
  <c r="F30" i="7"/>
  <c r="G30" i="7" s="1"/>
  <c r="O30" i="7" s="1"/>
  <c r="F27" i="7"/>
  <c r="G27" i="7" s="1"/>
  <c r="O27" i="7" s="1"/>
  <c r="F28" i="7"/>
  <c r="G28" i="7" s="1"/>
  <c r="O28" i="7" s="1"/>
  <c r="G56" i="7"/>
  <c r="F65" i="7"/>
  <c r="I43" i="7"/>
  <c r="L43" i="7" s="1"/>
  <c r="G42" i="7"/>
  <c r="O42" i="7" s="1"/>
  <c r="O16" i="7"/>
  <c r="G24" i="7"/>
  <c r="F24" i="7"/>
  <c r="F29" i="7"/>
  <c r="G29" i="7" s="1"/>
  <c r="O29" i="7" s="1"/>
  <c r="F50" i="7"/>
  <c r="H40" i="7" l="1"/>
  <c r="I40" i="7" s="1"/>
  <c r="L40" i="7" s="1"/>
  <c r="H56" i="7"/>
  <c r="I56" i="7" s="1"/>
  <c r="L56" i="7" s="1"/>
  <c r="H41" i="7"/>
  <c r="Q41" i="7" s="1"/>
  <c r="H58" i="7"/>
  <c r="I58" i="7" s="1"/>
  <c r="L58" i="7" s="1"/>
  <c r="H42" i="7"/>
  <c r="I42" i="7" s="1"/>
  <c r="L42" i="7" s="1"/>
  <c r="H28" i="7"/>
  <c r="Q28" i="7" s="1"/>
  <c r="H29" i="7"/>
  <c r="I29" i="7" s="1"/>
  <c r="L29" i="7" s="1"/>
  <c r="K24" i="7"/>
  <c r="P24" i="7" s="1"/>
  <c r="P18" i="7" s="1"/>
  <c r="Q18" i="7" s="1"/>
  <c r="H17" i="7"/>
  <c r="I17" i="7" s="1"/>
  <c r="L17" i="7" s="1"/>
  <c r="J4" i="7"/>
  <c r="Y28" i="10" s="1"/>
  <c r="H57" i="7"/>
  <c r="I57" i="7" s="1"/>
  <c r="L57" i="7" s="1"/>
  <c r="H16" i="7"/>
  <c r="I16" i="7" s="1"/>
  <c r="L16" i="7" s="1"/>
  <c r="H30" i="7"/>
  <c r="Q30" i="7" s="1"/>
  <c r="H55" i="7"/>
  <c r="Q55" i="7" s="1"/>
  <c r="H14" i="7"/>
  <c r="I14" i="7" s="1"/>
  <c r="L14" i="7" s="1"/>
  <c r="H15" i="7"/>
  <c r="I15" i="7" s="1"/>
  <c r="L15" i="7" s="1"/>
  <c r="H27" i="7"/>
  <c r="I27" i="7" s="1"/>
  <c r="L27" i="7" s="1"/>
  <c r="O56" i="7"/>
  <c r="G65" i="7"/>
  <c r="G50" i="7"/>
  <c r="O40" i="7"/>
  <c r="G37" i="7"/>
  <c r="F37" i="7"/>
  <c r="Q40" i="7" l="1"/>
  <c r="Q56" i="7"/>
  <c r="P17" i="7"/>
  <c r="Q17" i="7" s="1"/>
  <c r="I41" i="7"/>
  <c r="L41" i="7" s="1"/>
  <c r="L50" i="7" s="1"/>
  <c r="N50" i="7" s="1"/>
  <c r="P21" i="7"/>
  <c r="Q21" i="7" s="1"/>
  <c r="P20" i="7"/>
  <c r="Q20" i="7" s="1"/>
  <c r="I30" i="7"/>
  <c r="L30" i="7" s="1"/>
  <c r="Q27" i="7"/>
  <c r="P15" i="7"/>
  <c r="Q15" i="7" s="1"/>
  <c r="P22" i="7"/>
  <c r="Q22" i="7" s="1"/>
  <c r="Q42" i="7"/>
  <c r="L24" i="7"/>
  <c r="N24" i="7" s="1"/>
  <c r="P23" i="7"/>
  <c r="Q23" i="7" s="1"/>
  <c r="Q58" i="7"/>
  <c r="P14" i="7"/>
  <c r="Q14" i="7" s="1"/>
  <c r="P16" i="7"/>
  <c r="Q16" i="7" s="1"/>
  <c r="P19" i="7"/>
  <c r="Q19" i="7" s="1"/>
  <c r="I28" i="7"/>
  <c r="L28" i="7" s="1"/>
  <c r="H37" i="7"/>
  <c r="I37" i="7" s="1"/>
  <c r="H65" i="7"/>
  <c r="I65" i="7" s="1"/>
  <c r="I55" i="7"/>
  <c r="L55" i="7" s="1"/>
  <c r="L65" i="7" s="1"/>
  <c r="N65" i="7" s="1"/>
  <c r="H24" i="7"/>
  <c r="I24" i="7" s="1"/>
  <c r="Q29" i="7"/>
  <c r="N40" i="1"/>
  <c r="Q57" i="7"/>
  <c r="I50" i="7"/>
  <c r="Q50" i="7" l="1"/>
  <c r="R40" i="7" s="1"/>
  <c r="L37" i="7"/>
  <c r="N37" i="7" s="1"/>
  <c r="Q37" i="7"/>
  <c r="Q24" i="7"/>
  <c r="R15" i="7" s="1"/>
  <c r="H29" i="1" s="1"/>
  <c r="Q65" i="7"/>
  <c r="R56" i="7" s="1"/>
  <c r="N29" i="1" s="1"/>
  <c r="R41" i="7" l="1"/>
  <c r="R42" i="7"/>
  <c r="R43" i="7"/>
  <c r="S43" i="7" s="1"/>
  <c r="L31" i="1" s="1"/>
  <c r="R44" i="7"/>
  <c r="S44" i="7" s="1"/>
  <c r="L32" i="1" s="1"/>
  <c r="R45" i="7"/>
  <c r="S45" i="7" s="1"/>
  <c r="L33" i="1" s="1"/>
  <c r="R46" i="7"/>
  <c r="S46" i="7" s="1"/>
  <c r="L34" i="1" s="1"/>
  <c r="R48" i="7"/>
  <c r="S48" i="7" s="1"/>
  <c r="L36" i="1" s="1"/>
  <c r="R47" i="7"/>
  <c r="S47" i="7" s="1"/>
  <c r="L35" i="1" s="1"/>
  <c r="R49" i="7"/>
  <c r="S49" i="7" s="1"/>
  <c r="L37" i="1" s="1"/>
  <c r="R32" i="7"/>
  <c r="J33" i="1" s="1"/>
  <c r="R35" i="7"/>
  <c r="J36" i="1" s="1"/>
  <c r="R34" i="7"/>
  <c r="J35" i="1" s="1"/>
  <c r="R36" i="7"/>
  <c r="J37" i="1" s="1"/>
  <c r="R29" i="7"/>
  <c r="J30" i="1" s="1"/>
  <c r="R30" i="7"/>
  <c r="J31" i="1" s="1"/>
  <c r="R31" i="7"/>
  <c r="J32" i="1" s="1"/>
  <c r="R33" i="7"/>
  <c r="J34" i="1" s="1"/>
  <c r="R28" i="7"/>
  <c r="J29" i="1" s="1"/>
  <c r="R63" i="7"/>
  <c r="N36" i="1" s="1"/>
  <c r="R64" i="7"/>
  <c r="N37" i="1" s="1"/>
  <c r="R57" i="7"/>
  <c r="N30" i="1" s="1"/>
  <c r="R59" i="7"/>
  <c r="N32" i="1" s="1"/>
  <c r="R61" i="7"/>
  <c r="N34" i="1" s="1"/>
  <c r="R62" i="7"/>
  <c r="N35" i="1" s="1"/>
  <c r="R58" i="7"/>
  <c r="N31" i="1" s="1"/>
  <c r="R60" i="7"/>
  <c r="N33" i="1" s="1"/>
  <c r="R18" i="7"/>
  <c r="R20" i="7"/>
  <c r="R17" i="7"/>
  <c r="R23" i="7"/>
  <c r="R21" i="7"/>
  <c r="R19" i="7"/>
  <c r="R16" i="7"/>
  <c r="R22" i="7"/>
  <c r="R50" i="7" l="1"/>
  <c r="R51" i="7" s="1"/>
  <c r="S42" i="7" s="1"/>
  <c r="L30" i="1" s="1"/>
  <c r="R27" i="7"/>
  <c r="R55" i="7"/>
  <c r="N28" i="1" s="1"/>
  <c r="N38" i="1" s="1"/>
  <c r="S40" i="7"/>
  <c r="L28" i="1" s="1"/>
  <c r="R14" i="7"/>
  <c r="H28" i="1" s="1"/>
  <c r="S41" i="7"/>
  <c r="L29" i="1" s="1"/>
  <c r="P29" i="1" s="1"/>
  <c r="H30" i="1"/>
  <c r="H35" i="1"/>
  <c r="P35" i="1" s="1"/>
  <c r="H32" i="1"/>
  <c r="P32" i="1" s="1"/>
  <c r="J28" i="1"/>
  <c r="J38" i="1" s="1"/>
  <c r="H36" i="1"/>
  <c r="P36" i="1" s="1"/>
  <c r="H37" i="1"/>
  <c r="P37" i="1" s="1"/>
  <c r="H31" i="1"/>
  <c r="P31" i="1" s="1"/>
  <c r="H33" i="1"/>
  <c r="P33" i="1" s="1"/>
  <c r="H34" i="1"/>
  <c r="P34" i="1" s="1"/>
  <c r="P28" i="1" l="1"/>
  <c r="P30" i="1"/>
  <c r="L38" i="1"/>
  <c r="P38" i="1" l="1"/>
  <c r="T38" i="1" s="1"/>
  <c r="H38" i="1"/>
  <c r="C3" i="8" l="1"/>
  <c r="J5" i="8" s="1"/>
  <c r="D5" i="8" s="1"/>
  <c r="J13" i="8" l="1"/>
  <c r="I13" i="8" s="1"/>
  <c r="J12" i="8"/>
  <c r="I12" i="8" s="1"/>
  <c r="H12" i="8" s="1"/>
  <c r="J11" i="8"/>
  <c r="H11" i="8" s="1"/>
  <c r="J10" i="8"/>
  <c r="H10" i="8" s="1"/>
  <c r="J9" i="8"/>
  <c r="F9" i="8" s="1"/>
  <c r="J8" i="8"/>
  <c r="F8" i="8" s="1"/>
  <c r="J14" i="8"/>
  <c r="K16" i="8"/>
  <c r="K15" i="8"/>
  <c r="I5" i="8" l="1"/>
  <c r="I6" i="8" s="1"/>
  <c r="I11" i="8"/>
  <c r="G11" i="8" s="1"/>
  <c r="G10" i="8"/>
  <c r="I9" i="8"/>
  <c r="H9" i="8"/>
  <c r="E8" i="8"/>
  <c r="I10" i="8"/>
  <c r="G5" i="8"/>
  <c r="J7" i="8"/>
  <c r="V36" i="1" s="1"/>
  <c r="G9" i="8"/>
  <c r="J6" i="8"/>
  <c r="E5" i="8"/>
  <c r="F5" i="8"/>
  <c r="H5" i="8"/>
  <c r="H8" i="8"/>
  <c r="I8" i="8"/>
  <c r="G8" i="8"/>
  <c r="C5" i="8" l="1"/>
  <c r="F7" i="8"/>
  <c r="V32" i="1" s="1"/>
  <c r="E7" i="8"/>
  <c r="V31" i="1" s="1"/>
  <c r="G6" i="8"/>
  <c r="H7" i="8"/>
  <c r="V34" i="1" s="1"/>
  <c r="I7" i="8"/>
  <c r="V35" i="1" s="1"/>
  <c r="D7" i="8"/>
  <c r="V30" i="1" s="1"/>
  <c r="F10" i="8"/>
  <c r="D6" i="8"/>
  <c r="E9" i="8"/>
  <c r="G7" i="8"/>
  <c r="V33" i="1" s="1"/>
  <c r="E6" i="8"/>
  <c r="H6" i="8"/>
  <c r="F6" i="8"/>
  <c r="D8" i="8"/>
  <c r="C6" i="8" l="1"/>
  <c r="C7" i="8"/>
  <c r="V2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賦課係　須藤</author>
    <author>瀬川 直也</author>
  </authors>
  <commentList>
    <comment ref="H7" authorId="0" shapeId="0" xr:uid="{00000000-0006-0000-0000-000001000000}">
      <text>
        <r>
          <rPr>
            <sz val="9"/>
            <color indexed="81"/>
            <rFont val="MS P ゴシック"/>
            <family val="3"/>
            <charset val="128"/>
          </rPr>
          <t>年/月/日、というようにスラッシュ「/」を入れて入力してください。
スペースは入れないでください。
昭和60年5月12日生なら、「S60/5/12」又は「1985/5/12」</t>
        </r>
      </text>
    </comment>
    <comment ref="J7" authorId="0" shapeId="0" xr:uid="{00000000-0006-0000-0000-000002000000}">
      <text>
        <r>
          <rPr>
            <sz val="9"/>
            <color indexed="81"/>
            <rFont val="MS P ゴシック"/>
            <family val="3"/>
            <charset val="128"/>
          </rPr>
          <t>ハローワークから雇用保険受給資格者証が交付されている場合は、同証の「11.離職年月日」及び「12.離職理由」欄を確認してください。
「12.離職理由」が、非自発的な理由（11、12、21～23、31～34のいずれか）の場合は、「11.離職年月日」の翌日を含む年度と、その翌年度、給与所得を軽減して税額を計算しますので、「該当」を選択してください。</t>
        </r>
      </text>
    </comment>
    <comment ref="L7" authorId="0" shapeId="0" xr:uid="{00000000-0006-0000-0000-000003000000}">
      <text>
        <r>
          <rPr>
            <sz val="9"/>
            <color indexed="81"/>
            <rFont val="MS P ゴシック"/>
            <family val="3"/>
            <charset val="128"/>
          </rPr>
          <t>1月1日～同年12月31日までの給与支払額を入力してください。</t>
        </r>
      </text>
    </comment>
    <comment ref="R7" authorId="0" shapeId="0" xr:uid="{00000000-0006-0000-0000-000004000000}">
      <text>
        <r>
          <rPr>
            <sz val="9"/>
            <color indexed="81"/>
            <rFont val="MS P ゴシック"/>
            <family val="3"/>
            <charset val="128"/>
          </rPr>
          <t>1月1日～同年12月31日までの年金受給額を入力してください。
ただし、障害年金・遺族年金は、非課税の年金であるため、入力しないでください。</t>
        </r>
      </text>
    </comment>
    <comment ref="X7" authorId="0" shapeId="0" xr:uid="{00000000-0006-0000-0000-000005000000}">
      <text>
        <r>
          <rPr>
            <sz val="9"/>
            <color indexed="81"/>
            <rFont val="MS P ゴシック"/>
            <family val="3"/>
            <charset val="128"/>
          </rPr>
          <t>1月1日～同年12月31日までの、給与・年金以外の所得金額を合算して入力してください。</t>
        </r>
      </text>
    </comment>
    <comment ref="AA7" authorId="0" shapeId="0" xr:uid="{00000000-0006-0000-0000-000006000000}">
      <text>
        <r>
          <rPr>
            <sz val="9"/>
            <color indexed="81"/>
            <rFont val="MS P ゴシック"/>
            <family val="3"/>
            <charset val="128"/>
          </rPr>
          <t>給与所得額と年金所得額の合計が10万円を超える場合、給与所得額の一部が控除されます。</t>
        </r>
      </text>
    </comment>
    <comment ref="AC7" authorId="0" shapeId="0" xr:uid="{00000000-0006-0000-0000-000007000000}">
      <text>
        <r>
          <rPr>
            <sz val="9"/>
            <color indexed="81"/>
            <rFont val="MS P ゴシック"/>
            <family val="3"/>
            <charset val="128"/>
          </rPr>
          <t>国民健康保険税の計算においては、所得金額調整控除及び基礎控除以外の控除は、算定の基礎となりません。</t>
        </r>
      </text>
    </comment>
    <comment ref="F18" authorId="1" shapeId="0" xr:uid="{60BC1C98-4D48-40C6-8D8C-AE40A567042E}">
      <text>
        <r>
          <rPr>
            <sz val="9"/>
            <color indexed="81"/>
            <rFont val="MS P ゴシック"/>
            <family val="3"/>
            <charset val="128"/>
          </rPr>
          <t xml:space="preserve">自分自身は国民健康保険に加入されていない世帯主のことです。
</t>
        </r>
      </text>
    </comment>
    <comment ref="F23" authorId="0" shapeId="0" xr:uid="{00000000-0006-0000-0000-000008000000}">
      <text>
        <r>
          <rPr>
            <sz val="9"/>
            <color indexed="81"/>
            <rFont val="MS P ゴシック"/>
            <family val="3"/>
            <charset val="128"/>
          </rPr>
          <t>6歳に達する年度までの児童については、均等割額が２分の１に減額されます。</t>
        </r>
      </text>
    </comment>
    <comment ref="L27" authorId="0" shapeId="0" xr:uid="{00000000-0006-0000-0000-00000A000000}">
      <text>
        <r>
          <rPr>
            <sz val="9"/>
            <color indexed="81"/>
            <rFont val="MS P ゴシック"/>
            <family val="3"/>
            <charset val="128"/>
          </rPr>
          <t>40歳～64歳までの方には、介護分が賦課されます。</t>
        </r>
      </text>
    </comment>
    <comment ref="U27" authorId="0" shapeId="0" xr:uid="{00000000-0006-0000-0000-000009000000}">
      <text>
        <r>
          <rPr>
            <sz val="9"/>
            <color indexed="81"/>
            <rFont val="MS P ゴシック"/>
            <family val="3"/>
            <charset val="128"/>
          </rPr>
          <t>国民健康保険税は、加入手続の翌月以後の納期に税額が割り振られます。
その年度の4月1日以前から加入している場合は、４月を選択してください。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賦課係　須藤</author>
    <author>瀬川 直也</author>
  </authors>
  <commentList>
    <comment ref="H7" authorId="0" shapeId="0" xr:uid="{DA776CCC-2FAC-48B7-95A0-1B783D1654F0}">
      <text>
        <r>
          <rPr>
            <sz val="9"/>
            <color indexed="81"/>
            <rFont val="MS P ゴシック"/>
            <family val="3"/>
            <charset val="128"/>
          </rPr>
          <t>年/月/日、というようにスラッシュ「/」を入れて入力してください。
スペースは入れないでください。
昭和60年5月12日生なら、「S60/5/12」又は「1985/5/12」</t>
        </r>
      </text>
    </comment>
    <comment ref="M7" authorId="0" shapeId="0" xr:uid="{EFE49926-5A9D-4412-A113-C0E5361C8C02}">
      <text>
        <r>
          <rPr>
            <sz val="9"/>
            <color indexed="81"/>
            <rFont val="MS P ゴシック"/>
            <family val="3"/>
            <charset val="128"/>
          </rPr>
          <t>給与所得額と年金所得額の合計が10万円を超える場合、給与所得額の一部が控除されます。</t>
        </r>
      </text>
    </comment>
    <comment ref="Y21" authorId="1" shapeId="0" xr:uid="{DACF41DB-15DE-4A3E-8F02-77382777FFC3}">
      <text>
        <r>
          <rPr>
            <b/>
            <sz val="9"/>
            <color indexed="81"/>
            <rFont val="MS P ゴシック"/>
            <family val="3"/>
            <charset val="128"/>
          </rPr>
          <t>擬主は被保数にはカウントしていない</t>
        </r>
        <r>
          <rPr>
            <sz val="9"/>
            <color indexed="81"/>
            <rFont val="MS P ゴシック"/>
            <family val="3"/>
            <charset val="128"/>
          </rPr>
          <t xml:space="preserve">
</t>
        </r>
      </text>
    </comment>
    <comment ref="AD21" authorId="1" shapeId="0" xr:uid="{F5876613-7BDD-4B6F-8195-60ADAEF4B142}">
      <text>
        <r>
          <rPr>
            <b/>
            <sz val="9"/>
            <color indexed="81"/>
            <rFont val="MS P ゴシック"/>
            <family val="3"/>
            <charset val="128"/>
          </rPr>
          <t>給与所得者等の数は軽減計算時-1するため、
-100,000を誤ってしないように、1人以下は</t>
        </r>
        <r>
          <rPr>
            <b/>
            <u/>
            <sz val="9"/>
            <color indexed="81"/>
            <rFont val="MS P ゴシック"/>
            <family val="3"/>
            <charset val="128"/>
          </rPr>
          <t>（1）</t>
        </r>
        <r>
          <rPr>
            <b/>
            <sz val="9"/>
            <color indexed="81"/>
            <rFont val="MS P ゴシック"/>
            <family val="3"/>
            <charset val="128"/>
          </rPr>
          <t xml:space="preserve">と表示するようにしている。
</t>
        </r>
      </text>
    </comment>
    <comment ref="F23" authorId="0" shapeId="0" xr:uid="{2F159513-FC4A-4779-9F93-07B9796C69C1}">
      <text>
        <r>
          <rPr>
            <sz val="9"/>
            <color indexed="81"/>
            <rFont val="MS P ゴシック"/>
            <family val="3"/>
            <charset val="128"/>
          </rPr>
          <t>6歳に達する年度までの児童については、均等割額が２分の１に減額されます。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賦課係　須藤</author>
    <author>賦課係１番窓口</author>
  </authors>
  <commentList>
    <comment ref="J4" authorId="0" shapeId="0" xr:uid="{00000000-0006-0000-0100-000001000000}">
      <text>
        <r>
          <rPr>
            <sz val="9"/>
            <color indexed="81"/>
            <rFont val="MS P ゴシック"/>
            <family val="3"/>
            <charset val="128"/>
          </rPr>
          <t>法定軽減の適用機能については、ＷＥＢ版非開示。</t>
        </r>
      </text>
    </comment>
    <comment ref="O12" authorId="0" shapeId="0" xr:uid="{00000000-0006-0000-0100-000002000000}">
      <text>
        <r>
          <rPr>
            <sz val="9"/>
            <color indexed="81"/>
            <rFont val="MS P ゴシック"/>
            <family val="3"/>
            <charset val="128"/>
          </rPr>
          <t xml:space="preserve">賦課額の算出においては、賦課額の確定額である「算出税額」においてのみ、端数処理を行うが、参考税額の算出においては、所得割・均等割・平等割のそれぞれで端数処理したものを足しあげ、賦課額を按分している。
</t>
        </r>
      </text>
    </comment>
    <comment ref="E13" authorId="1" shapeId="0" xr:uid="{00000000-0006-0000-0100-000003000000}">
      <text>
        <r>
          <rPr>
            <sz val="9"/>
            <color indexed="81"/>
            <rFont val="MS P ゴシック"/>
            <family val="3"/>
            <charset val="128"/>
          </rPr>
          <t>年齢要件「国保加入期間なし」の該当者は、表内の数値が全てゼロ表示となる。</t>
        </r>
      </text>
    </comment>
    <comment ref="H13" authorId="1" shapeId="0" xr:uid="{00000000-0006-0000-0100-000004000000}">
      <text>
        <r>
          <rPr>
            <sz val="9"/>
            <color indexed="81"/>
            <rFont val="MS P ゴシック"/>
            <family val="3"/>
            <charset val="128"/>
          </rPr>
          <t>年齢要件「未就学児該当」の該当者は、未就学児軽減後（２分の１）の額で表示される。
また、Ｊ４で指定した法定軽減後の額で表示される。</t>
        </r>
      </text>
    </comment>
    <comment ref="J13" authorId="1" shapeId="0" xr:uid="{00000000-0006-0000-0100-000005000000}">
      <text>
        <r>
          <rPr>
            <sz val="9"/>
            <color indexed="81"/>
            <rFont val="MS P ゴシック"/>
            <family val="3"/>
            <charset val="128"/>
          </rPr>
          <t>原則、当Excelでは、誕生月（後期加入月）に関わらず、賦課年度内に国保税が賦課されうる月が１か月でもある場合は、入力用シートＵ６で指定した加入期間全てにおいて国保税が賦課されるものとして計算する。
加入者毎の加入月数を指定したい場合は、この欄に直接入力する（ＷＥＢ版非開示）。</t>
        </r>
      </text>
    </comment>
    <comment ref="R13" authorId="1" shapeId="0" xr:uid="{00000000-0006-0000-0100-000006000000}">
      <text>
        <r>
          <rPr>
            <sz val="9"/>
            <color indexed="81"/>
            <rFont val="MS P ゴシック"/>
            <family val="3"/>
            <charset val="128"/>
          </rPr>
          <t>算出税額（端数処理後）を、個人年税額Ａで按分した数値。</t>
        </r>
      </text>
    </comment>
    <comment ref="R14" authorId="1" shapeId="0" xr:uid="{00000000-0006-0000-0100-000007000000}">
      <text>
        <r>
          <rPr>
            <sz val="9"/>
            <color indexed="81"/>
            <rFont val="MS P ゴシック"/>
            <family val="3"/>
            <charset val="128"/>
          </rPr>
          <t>各個人に生じた１円未満の端数は、１人目の参考税額に寄せている。
※　システムでは、原則世帯主（擬主又は主が所得ゼロの場合は、所得が最も多い被保険者）に寄せる仕様になっているが、当Excelでは、主を特定できないため、このような取扱いにしている。</t>
        </r>
      </text>
    </comment>
    <comment ref="J24" authorId="0" shapeId="0" xr:uid="{00000000-0006-0000-0100-000008000000}">
      <text>
        <r>
          <rPr>
            <sz val="9"/>
            <color indexed="81"/>
            <rFont val="MS P ゴシック"/>
            <family val="3"/>
            <charset val="128"/>
          </rPr>
          <t>加入者のうち、最も加入期間が長い者の加入期間が表示される。</t>
        </r>
      </text>
    </comment>
    <comment ref="K24" authorId="0" shapeId="0" xr:uid="{00000000-0006-0000-0100-000009000000}">
      <text>
        <r>
          <rPr>
            <sz val="9"/>
            <color indexed="81"/>
            <rFont val="MS P ゴシック"/>
            <family val="3"/>
            <charset val="128"/>
          </rPr>
          <t>Ｊ４で指定した法定軽減後の額で表示される。</t>
        </r>
      </text>
    </comment>
    <comment ref="L24" authorId="0" shapeId="0" xr:uid="{00000000-0006-0000-0100-00000A000000}">
      <text>
        <r>
          <rPr>
            <sz val="9"/>
            <color indexed="81"/>
            <rFont val="MS P ゴシック"/>
            <family val="3"/>
            <charset val="128"/>
          </rPr>
          <t>このセルだけは、所得割・均等割だけでなく、平等割額（加入月分）が足されている。</t>
        </r>
      </text>
    </comment>
    <comment ref="M24" authorId="1" shapeId="0" xr:uid="{00000000-0006-0000-0100-00000B000000}">
      <text>
        <r>
          <rPr>
            <sz val="9"/>
            <color indexed="81"/>
            <rFont val="MS P ゴシック"/>
            <family val="3"/>
            <charset val="128"/>
          </rPr>
          <t>限度額が賦課額として適用となるか否かは、各月毎に判定されるが、当Excelにおいては、各月毎の加入者を特定できないため、加入者によって加入時期・加入月数が異なる場合は、限度額の適用が適正に判定できない。</t>
        </r>
      </text>
    </comment>
    <comment ref="D27" authorId="1" shapeId="0" xr:uid="{00000000-0006-0000-0100-00000C000000}">
      <text>
        <r>
          <rPr>
            <sz val="9"/>
            <color indexed="81"/>
            <rFont val="MS P ゴシック"/>
            <family val="3"/>
            <charset val="128"/>
          </rPr>
          <t>薄緑のセルは、「医療」の表から数値を参照している。</t>
        </r>
      </text>
    </comment>
    <comment ref="E39" authorId="1" shapeId="0" xr:uid="{00000000-0006-0000-0100-00000D000000}">
      <text>
        <r>
          <rPr>
            <sz val="9"/>
            <color indexed="81"/>
            <rFont val="MS P ゴシック"/>
            <family val="3"/>
            <charset val="128"/>
          </rPr>
          <t>年齢要件「介護分あり」以外の該当者は、表内の数値が全てゼロ表示となる。</t>
        </r>
      </text>
    </comment>
    <comment ref="J39" authorId="1" shapeId="0" xr:uid="{00000000-0006-0000-0100-00000E000000}">
      <text>
        <r>
          <rPr>
            <sz val="9"/>
            <color indexed="81"/>
            <rFont val="MS P ゴシック"/>
            <family val="3"/>
            <charset val="128"/>
          </rPr>
          <t>当Excelでは、誕生月に関わらず、賦課年度内に介護分が賦課されうる月が１か月でもある場合は、入力用シートＵ６で指定した加入期間全てにおいて、介護分が賦課されるものとして計算する。
加入者毎の加入月数を指定したい場合は、この欄に直接入力する（ＷＥＢ版非開示）。</t>
        </r>
      </text>
    </comment>
    <comment ref="R39" authorId="1" shapeId="0" xr:uid="{00000000-0006-0000-0100-00000F000000}">
      <text>
        <r>
          <rPr>
            <sz val="9"/>
            <color indexed="81"/>
            <rFont val="MS P ゴシック"/>
            <family val="3"/>
            <charset val="128"/>
          </rPr>
          <t>端数を寄せる前の数値。</t>
        </r>
      </text>
    </comment>
    <comment ref="S39" authorId="1" shapeId="0" xr:uid="{00000000-0006-0000-0100-000010000000}">
      <text>
        <r>
          <rPr>
            <sz val="9"/>
            <color indexed="81"/>
            <rFont val="MS P ゴシック"/>
            <family val="3"/>
            <charset val="128"/>
          </rPr>
          <t>端数を、介護分ありの最初の人に寄せた数値。</t>
        </r>
      </text>
    </comment>
    <comment ref="D40" authorId="1" shapeId="0" xr:uid="{00000000-0006-0000-0100-000011000000}">
      <text>
        <r>
          <rPr>
            <sz val="9"/>
            <color indexed="81"/>
            <rFont val="MS P ゴシック"/>
            <family val="3"/>
            <charset val="128"/>
          </rPr>
          <t>薄緑のセルは、「支援」の表から数値を参照している。</t>
        </r>
      </text>
    </comment>
    <comment ref="R55" authorId="1" shapeId="0" xr:uid="{A901B12D-34D2-4336-9D0E-6DCD8ED50D04}">
      <text>
        <r>
          <rPr>
            <sz val="9"/>
            <color indexed="81"/>
            <rFont val="MS P ゴシック"/>
            <family val="3"/>
            <charset val="128"/>
          </rPr>
          <t>各個人に生じた１円未満の端数は、１人目の参考税額に寄せている。
※　システムでは、原則世帯主（擬主又は主が所得ゼロの場合は、所得が最も多い被保険者）に寄せる仕様になっているが、当Excelでは、主を特定できないため、このような取扱いにしている。</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賦課係　須藤</author>
  </authors>
  <commentList>
    <comment ref="B6" authorId="0" shapeId="0" xr:uid="{00000000-0006-0000-0200-000001000000}">
      <text>
        <r>
          <rPr>
            <sz val="9"/>
            <color indexed="81"/>
            <rFont val="MS P ゴシック"/>
            <family val="3"/>
            <charset val="128"/>
          </rPr>
          <t>5,6月は、4月の数値をそのまま参照している。</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賦課係　須藤</author>
  </authors>
  <commentList>
    <comment ref="F5" authorId="0" shapeId="0" xr:uid="{00000000-0006-0000-0400-000001000000}">
      <text>
        <r>
          <rPr>
            <sz val="9"/>
            <color indexed="81"/>
            <rFont val="MS P ゴシック"/>
            <family val="3"/>
            <charset val="128"/>
          </rPr>
          <t>特例軽減は適用。
調控（年金等）は非適用。
※　調控（子供等）は適用されるが、調控（子供等）の判定自体、当Excelでは対応不可。</t>
        </r>
      </text>
    </comment>
  </commentList>
</comments>
</file>

<file path=xl/sharedStrings.xml><?xml version="1.0" encoding="utf-8"?>
<sst xmlns="http://schemas.openxmlformats.org/spreadsheetml/2006/main" count="431" uniqueCount="204">
  <si>
    <t>給与収入</t>
    <rPh sb="0" eb="2">
      <t>キュウヨ</t>
    </rPh>
    <rPh sb="2" eb="4">
      <t>シュウニュウ</t>
    </rPh>
    <phoneticPr fontId="1"/>
  </si>
  <si>
    <t>給与所得</t>
    <rPh sb="0" eb="2">
      <t>キュウヨ</t>
    </rPh>
    <rPh sb="2" eb="4">
      <t>ショトク</t>
    </rPh>
    <phoneticPr fontId="1"/>
  </si>
  <si>
    <t>年金収入</t>
    <rPh sb="0" eb="2">
      <t>ネンキン</t>
    </rPh>
    <rPh sb="2" eb="4">
      <t>シュウニュウ</t>
    </rPh>
    <phoneticPr fontId="1"/>
  </si>
  <si>
    <t>年金所得</t>
    <rPh sb="0" eb="2">
      <t>ネンキン</t>
    </rPh>
    <rPh sb="2" eb="4">
      <t>ショトク</t>
    </rPh>
    <phoneticPr fontId="1"/>
  </si>
  <si>
    <t>その他の所得</t>
    <rPh sb="2" eb="3">
      <t>タ</t>
    </rPh>
    <rPh sb="4" eb="6">
      <t>ショトク</t>
    </rPh>
    <phoneticPr fontId="1"/>
  </si>
  <si>
    <t>給与収入額Ａ</t>
    <rPh sb="0" eb="2">
      <t>キュウヨ</t>
    </rPh>
    <rPh sb="2" eb="4">
      <t>シュウニュウ</t>
    </rPh>
    <rPh sb="4" eb="5">
      <t>ガク</t>
    </rPh>
    <phoneticPr fontId="1"/>
  </si>
  <si>
    <t>～</t>
    <phoneticPr fontId="1"/>
  </si>
  <si>
    <t>（Ａ÷</t>
    <phoneticPr fontId="1"/>
  </si>
  <si>
    <t>）</t>
    <phoneticPr fontId="1"/>
  </si>
  <si>
    <t>）×</t>
    <phoneticPr fontId="1"/>
  </si>
  <si>
    <t>＋</t>
    <phoneticPr fontId="1"/>
  </si>
  <si>
    <t>Ａ</t>
    <phoneticPr fontId="1"/>
  </si>
  <si>
    <t>（Ａ×</t>
    <phoneticPr fontId="1"/>
  </si>
  <si>
    <t>１人目</t>
    <rPh sb="1" eb="2">
      <t>ニン</t>
    </rPh>
    <rPh sb="2" eb="3">
      <t>メ</t>
    </rPh>
    <phoneticPr fontId="1"/>
  </si>
  <si>
    <t>２人目</t>
    <rPh sb="1" eb="2">
      <t>ニン</t>
    </rPh>
    <rPh sb="2" eb="3">
      <t>メ</t>
    </rPh>
    <phoneticPr fontId="1"/>
  </si>
  <si>
    <t>生年月日</t>
    <rPh sb="0" eb="2">
      <t>セイネン</t>
    </rPh>
    <rPh sb="2" eb="4">
      <t>ガッピ</t>
    </rPh>
    <phoneticPr fontId="1"/>
  </si>
  <si>
    <t>年金収入額Ｂ</t>
    <rPh sb="0" eb="2">
      <t>ネンキン</t>
    </rPh>
    <rPh sb="2" eb="4">
      <t>シュウニュウ</t>
    </rPh>
    <rPh sb="4" eb="5">
      <t>ガク</t>
    </rPh>
    <phoneticPr fontId="1"/>
  </si>
  <si>
    <t>Ｂ</t>
    <phoneticPr fontId="1"/>
  </si>
  <si>
    <t>（Ｂ×</t>
    <phoneticPr fontId="1"/>
  </si>
  <si>
    <t>）</t>
    <phoneticPr fontId="1"/>
  </si>
  <si>
    <t>３人目</t>
    <rPh sb="1" eb="2">
      <t>ニン</t>
    </rPh>
    <rPh sb="2" eb="3">
      <t>メ</t>
    </rPh>
    <phoneticPr fontId="1"/>
  </si>
  <si>
    <t>４人目</t>
    <rPh sb="1" eb="2">
      <t>ニン</t>
    </rPh>
    <rPh sb="2" eb="3">
      <t>メ</t>
    </rPh>
    <phoneticPr fontId="1"/>
  </si>
  <si>
    <t>５人目</t>
    <rPh sb="1" eb="2">
      <t>ニン</t>
    </rPh>
    <rPh sb="2" eb="3">
      <t>メ</t>
    </rPh>
    <phoneticPr fontId="1"/>
  </si>
  <si>
    <t>給与所得額の計算式</t>
    <rPh sb="0" eb="2">
      <t>キュウヨ</t>
    </rPh>
    <rPh sb="2" eb="4">
      <t>ショトク</t>
    </rPh>
    <rPh sb="4" eb="5">
      <t>ガク</t>
    </rPh>
    <rPh sb="6" eb="8">
      <t>ケイサン</t>
    </rPh>
    <rPh sb="8" eb="9">
      <t>シキ</t>
    </rPh>
    <phoneticPr fontId="1"/>
  </si>
  <si>
    <t>給与所得額（最下行の黄色セルの数値）</t>
    <rPh sb="0" eb="2">
      <t>キュウヨ</t>
    </rPh>
    <rPh sb="2" eb="4">
      <t>ショトク</t>
    </rPh>
    <rPh sb="4" eb="5">
      <t>ガク</t>
    </rPh>
    <rPh sb="6" eb="9">
      <t>サイカギョウ</t>
    </rPh>
    <rPh sb="10" eb="12">
      <t>キイロ</t>
    </rPh>
    <rPh sb="15" eb="17">
      <t>スウチ</t>
    </rPh>
    <phoneticPr fontId="1"/>
  </si>
  <si>
    <t>年金所得額の計算式</t>
    <rPh sb="0" eb="2">
      <t>ネンキン</t>
    </rPh>
    <rPh sb="2" eb="4">
      <t>ショトク</t>
    </rPh>
    <rPh sb="4" eb="5">
      <t>ガク</t>
    </rPh>
    <rPh sb="6" eb="8">
      <t>ケイサン</t>
    </rPh>
    <rPh sb="8" eb="9">
      <t>シキ</t>
    </rPh>
    <phoneticPr fontId="1"/>
  </si>
  <si>
    <t>年金所得額（最下行の黄色セルの数値）</t>
    <rPh sb="0" eb="2">
      <t>ネンキン</t>
    </rPh>
    <rPh sb="2" eb="4">
      <t>ショトク</t>
    </rPh>
    <rPh sb="4" eb="5">
      <t>ガク</t>
    </rPh>
    <rPh sb="6" eb="9">
      <t>サイカギョウ</t>
    </rPh>
    <rPh sb="10" eb="12">
      <t>キイロ</t>
    </rPh>
    <rPh sb="15" eb="17">
      <t>スウチ</t>
    </rPh>
    <phoneticPr fontId="1"/>
  </si>
  <si>
    <t>年金所得以外の合計所得金額</t>
    <rPh sb="0" eb="2">
      <t>ネンキン</t>
    </rPh>
    <rPh sb="2" eb="4">
      <t>ショトク</t>
    </rPh>
    <rPh sb="4" eb="6">
      <t>イガイ</t>
    </rPh>
    <rPh sb="7" eb="9">
      <t>ゴウケイ</t>
    </rPh>
    <rPh sb="9" eb="11">
      <t>ショトク</t>
    </rPh>
    <rPh sb="11" eb="13">
      <t>キンガク</t>
    </rPh>
    <phoneticPr fontId="1"/>
  </si>
  <si>
    <t>生年月日</t>
    <rPh sb="0" eb="2">
      <t>セイネン</t>
    </rPh>
    <rPh sb="2" eb="4">
      <t>ガッピ</t>
    </rPh>
    <phoneticPr fontId="1"/>
  </si>
  <si>
    <t>年金収入額</t>
    <rPh sb="0" eb="2">
      <t>ネンキン</t>
    </rPh>
    <rPh sb="2" eb="4">
      <t>シュウニュウ</t>
    </rPh>
    <rPh sb="4" eb="5">
      <t>ガク</t>
    </rPh>
    <phoneticPr fontId="1"/>
  </si>
  <si>
    <t>※　入力用シートから参照</t>
    <rPh sb="2" eb="5">
      <t>ニュウリョクヨウ</t>
    </rPh>
    <rPh sb="10" eb="12">
      <t>サンショウ</t>
    </rPh>
    <phoneticPr fontId="1"/>
  </si>
  <si>
    <t>給与収入額</t>
    <rPh sb="0" eb="2">
      <t>キュウヨ</t>
    </rPh>
    <rPh sb="2" eb="4">
      <t>シュウニュウ</t>
    </rPh>
    <rPh sb="4" eb="5">
      <t>ガク</t>
    </rPh>
    <phoneticPr fontId="1"/>
  </si>
  <si>
    <t>※　入力用シートから参照</t>
    <phoneticPr fontId="1"/>
  </si>
  <si>
    <t>65歳以上</t>
    <rPh sb="2" eb="3">
      <t>サイ</t>
    </rPh>
    <rPh sb="3" eb="5">
      <t>イジョウ</t>
    </rPh>
    <phoneticPr fontId="1"/>
  </si>
  <si>
    <t>65歳未満</t>
    <rPh sb="2" eb="3">
      <t>サイ</t>
    </rPh>
    <rPh sb="3" eb="5">
      <t>ミマン</t>
    </rPh>
    <phoneticPr fontId="1"/>
  </si>
  <si>
    <t>65歳到達者の誕生年の1/1　→</t>
    <rPh sb="2" eb="3">
      <t>サイ</t>
    </rPh>
    <rPh sb="3" eb="5">
      <t>トウタツ</t>
    </rPh>
    <rPh sb="5" eb="6">
      <t>シャ</t>
    </rPh>
    <rPh sb="7" eb="9">
      <t>タンジョウ</t>
    </rPh>
    <rPh sb="9" eb="10">
      <t>ネン</t>
    </rPh>
    <phoneticPr fontId="1"/>
  </si>
  <si>
    <t>年金所得以外の合計所得金額</t>
    <rPh sb="0" eb="2">
      <t>ネンキン</t>
    </rPh>
    <rPh sb="2" eb="4">
      <t>ショトク</t>
    </rPh>
    <rPh sb="4" eb="6">
      <t>イガイ</t>
    </rPh>
    <rPh sb="7" eb="9">
      <t>ゴウケイ</t>
    </rPh>
    <rPh sb="9" eb="11">
      <t>ショトク</t>
    </rPh>
    <rPh sb="11" eb="13">
      <t>キンガク</t>
    </rPh>
    <phoneticPr fontId="1"/>
  </si>
  <si>
    <t>※　年金所得以外の合計所得金額の区分</t>
    <rPh sb="2" eb="4">
      <t>ネンキン</t>
    </rPh>
    <rPh sb="4" eb="6">
      <t>ショトク</t>
    </rPh>
    <rPh sb="6" eb="8">
      <t>イガイ</t>
    </rPh>
    <rPh sb="9" eb="11">
      <t>ゴウケイ</t>
    </rPh>
    <rPh sb="11" eb="13">
      <t>ショトク</t>
    </rPh>
    <rPh sb="13" eb="15">
      <t>キンガク</t>
    </rPh>
    <rPh sb="16" eb="18">
      <t>クブン</t>
    </rPh>
    <phoneticPr fontId="1"/>
  </si>
  <si>
    <t>年金所得の増加額</t>
    <rPh sb="0" eb="2">
      <t>ネンキン</t>
    </rPh>
    <rPh sb="2" eb="4">
      <t>ショトク</t>
    </rPh>
    <rPh sb="5" eb="7">
      <t>ゾウカ</t>
    </rPh>
    <rPh sb="7" eb="8">
      <t>ガク</t>
    </rPh>
    <phoneticPr fontId="1"/>
  </si>
  <si>
    <t>※　ゼロ以下はゼロ　→</t>
    <rPh sb="4" eb="6">
      <t>イカ</t>
    </rPh>
    <phoneticPr fontId="1"/>
  </si>
  <si>
    <t>基礎控除</t>
    <rPh sb="0" eb="2">
      <t>キソ</t>
    </rPh>
    <rPh sb="2" eb="4">
      <t>コウジョ</t>
    </rPh>
    <phoneticPr fontId="1"/>
  </si>
  <si>
    <t>合計所得金額</t>
    <rPh sb="0" eb="2">
      <t>ゴウケイ</t>
    </rPh>
    <rPh sb="2" eb="4">
      <t>ショトク</t>
    </rPh>
    <rPh sb="4" eb="6">
      <t>キンガク</t>
    </rPh>
    <phoneticPr fontId="1"/>
  </si>
  <si>
    <t>基礎控除額</t>
    <rPh sb="0" eb="2">
      <t>キソ</t>
    </rPh>
    <rPh sb="2" eb="4">
      <t>コウジョ</t>
    </rPh>
    <rPh sb="4" eb="5">
      <t>ガク</t>
    </rPh>
    <phoneticPr fontId="1"/>
  </si>
  <si>
    <t>該当者の年金所得の増加額</t>
    <rPh sb="0" eb="3">
      <t>ガイトウシャ</t>
    </rPh>
    <rPh sb="4" eb="6">
      <t>ネンキン</t>
    </rPh>
    <rPh sb="6" eb="8">
      <t>ショトク</t>
    </rPh>
    <rPh sb="9" eb="11">
      <t>ゾウカ</t>
    </rPh>
    <rPh sb="11" eb="12">
      <t>ガク</t>
    </rPh>
    <phoneticPr fontId="1"/>
  </si>
  <si>
    <t>該当者の基礎控除額（最下行の黄色セルの数値）</t>
    <rPh sb="0" eb="3">
      <t>ガイトウシャ</t>
    </rPh>
    <rPh sb="4" eb="6">
      <t>キソ</t>
    </rPh>
    <rPh sb="6" eb="8">
      <t>コウジョ</t>
    </rPh>
    <rPh sb="8" eb="9">
      <t>ガク</t>
    </rPh>
    <phoneticPr fontId="1"/>
  </si>
  <si>
    <t>加入月数</t>
    <rPh sb="0" eb="2">
      <t>カニュウ</t>
    </rPh>
    <rPh sb="2" eb="3">
      <t>ツキ</t>
    </rPh>
    <rPh sb="3" eb="4">
      <t>スウ</t>
    </rPh>
    <phoneticPr fontId="1"/>
  </si>
  <si>
    <t>所得割率</t>
    <rPh sb="0" eb="2">
      <t>ショトク</t>
    </rPh>
    <rPh sb="2" eb="3">
      <t>ワリ</t>
    </rPh>
    <rPh sb="3" eb="4">
      <t>リツ</t>
    </rPh>
    <phoneticPr fontId="1"/>
  </si>
  <si>
    <t>医療</t>
    <rPh sb="0" eb="2">
      <t>イリョウ</t>
    </rPh>
    <phoneticPr fontId="1"/>
  </si>
  <si>
    <t>支援</t>
    <rPh sb="0" eb="2">
      <t>シエン</t>
    </rPh>
    <phoneticPr fontId="1"/>
  </si>
  <si>
    <t>介護</t>
    <rPh sb="0" eb="2">
      <t>カイゴ</t>
    </rPh>
    <phoneticPr fontId="1"/>
  </si>
  <si>
    <t>均等割額</t>
    <rPh sb="0" eb="3">
      <t>キントウワ</t>
    </rPh>
    <rPh sb="3" eb="4">
      <t>ガク</t>
    </rPh>
    <phoneticPr fontId="1"/>
  </si>
  <si>
    <t>平等割額</t>
    <rPh sb="0" eb="2">
      <t>ビョウドウ</t>
    </rPh>
    <rPh sb="2" eb="3">
      <t>ワリ</t>
    </rPh>
    <rPh sb="3" eb="4">
      <t>ガク</t>
    </rPh>
    <phoneticPr fontId="1"/>
  </si>
  <si>
    <t>限度額</t>
    <rPh sb="0" eb="2">
      <t>ゲンド</t>
    </rPh>
    <rPh sb="2" eb="3">
      <t>ガク</t>
    </rPh>
    <phoneticPr fontId="1"/>
  </si>
  <si>
    <t>加入月数</t>
    <rPh sb="0" eb="2">
      <t>カニュウ</t>
    </rPh>
    <rPh sb="2" eb="3">
      <t>ツキ</t>
    </rPh>
    <rPh sb="3" eb="4">
      <t>スウ</t>
    </rPh>
    <phoneticPr fontId="1"/>
  </si>
  <si>
    <t>国民健康保険税　世帯試算計算結果</t>
    <rPh sb="0" eb="2">
      <t>コクミン</t>
    </rPh>
    <rPh sb="2" eb="4">
      <t>ケンコウ</t>
    </rPh>
    <rPh sb="4" eb="6">
      <t>ホケン</t>
    </rPh>
    <rPh sb="6" eb="7">
      <t>ゼイ</t>
    </rPh>
    <rPh sb="8" eb="10">
      <t>セタイ</t>
    </rPh>
    <rPh sb="10" eb="12">
      <t>シサン</t>
    </rPh>
    <rPh sb="12" eb="14">
      <t>ケイサン</t>
    </rPh>
    <rPh sb="14" eb="16">
      <t>ケッカ</t>
    </rPh>
    <phoneticPr fontId="1"/>
  </si>
  <si>
    <t>年齢要件</t>
    <rPh sb="0" eb="2">
      <t>ネンレイ</t>
    </rPh>
    <rPh sb="2" eb="4">
      <t>ヨウケン</t>
    </rPh>
    <phoneticPr fontId="1"/>
  </si>
  <si>
    <t>翌年度4/1が7歳の誕生日の者の生年月日</t>
    <rPh sb="0" eb="3">
      <t>ヨクネンド</t>
    </rPh>
    <rPh sb="8" eb="9">
      <t>サイ</t>
    </rPh>
    <rPh sb="10" eb="13">
      <t>タンジョウビ</t>
    </rPh>
    <rPh sb="14" eb="15">
      <t>モノ</t>
    </rPh>
    <rPh sb="16" eb="18">
      <t>セイネン</t>
    </rPh>
    <rPh sb="18" eb="20">
      <t>ガッピ</t>
    </rPh>
    <phoneticPr fontId="1"/>
  </si>
  <si>
    <t>賦課年度</t>
    <rPh sb="0" eb="2">
      <t>フカ</t>
    </rPh>
    <rPh sb="2" eb="4">
      <t>ネンド</t>
    </rPh>
    <phoneticPr fontId="1"/>
  </si>
  <si>
    <t>賦課年度</t>
    <rPh sb="0" eb="2">
      <t>フカ</t>
    </rPh>
    <rPh sb="2" eb="4">
      <t>ネンド</t>
    </rPh>
    <phoneticPr fontId="1"/>
  </si>
  <si>
    <t>翌年度4/1が40歳の誕生日の者の生年月日</t>
    <rPh sb="0" eb="3">
      <t>ヨクネンド</t>
    </rPh>
    <rPh sb="9" eb="10">
      <t>サイ</t>
    </rPh>
    <rPh sb="11" eb="14">
      <t>タンジョウビ</t>
    </rPh>
    <rPh sb="15" eb="16">
      <t>モノ</t>
    </rPh>
    <rPh sb="17" eb="19">
      <t>セイネン</t>
    </rPh>
    <rPh sb="19" eb="21">
      <t>ガッピ</t>
    </rPh>
    <phoneticPr fontId="1"/>
  </si>
  <si>
    <t>当年度5/1が65歳の誕生日の者の生年月日</t>
    <rPh sb="0" eb="3">
      <t>トウネンド</t>
    </rPh>
    <rPh sb="9" eb="10">
      <t>サイ</t>
    </rPh>
    <rPh sb="11" eb="14">
      <t>タンジョウビ</t>
    </rPh>
    <rPh sb="15" eb="16">
      <t>モノ</t>
    </rPh>
    <rPh sb="17" eb="19">
      <t>セイネン</t>
    </rPh>
    <rPh sb="19" eb="21">
      <t>ガッピ</t>
    </rPh>
    <phoneticPr fontId="1"/>
  </si>
  <si>
    <t>未就学児該当</t>
    <rPh sb="0" eb="4">
      <t>ミシュウガクジ</t>
    </rPh>
    <rPh sb="4" eb="6">
      <t>ガイトウ</t>
    </rPh>
    <phoneticPr fontId="1"/>
  </si>
  <si>
    <t>介護分なし</t>
    <rPh sb="0" eb="2">
      <t>カイゴ</t>
    </rPh>
    <rPh sb="2" eb="3">
      <t>ブン</t>
    </rPh>
    <phoneticPr fontId="1"/>
  </si>
  <si>
    <t>当年度5/1が75歳の誕生日の者の生年月日</t>
    <rPh sb="0" eb="3">
      <t>トウネンド</t>
    </rPh>
    <rPh sb="9" eb="10">
      <t>サイ</t>
    </rPh>
    <rPh sb="11" eb="14">
      <t>タンジョウビ</t>
    </rPh>
    <rPh sb="15" eb="16">
      <t>モノ</t>
    </rPh>
    <rPh sb="17" eb="19">
      <t>セイネン</t>
    </rPh>
    <rPh sb="19" eb="21">
      <t>ガッピ</t>
    </rPh>
    <phoneticPr fontId="1"/>
  </si>
  <si>
    <t>介護分あり</t>
    <rPh sb="0" eb="2">
      <t>カイゴ</t>
    </rPh>
    <rPh sb="2" eb="3">
      <t>ブン</t>
    </rPh>
    <phoneticPr fontId="1"/>
  </si>
  <si>
    <t>翌年度4/1</t>
    <rPh sb="0" eb="3">
      <t>ヨクネンド</t>
    </rPh>
    <phoneticPr fontId="1"/>
  </si>
  <si>
    <t>国保加入期間なし</t>
    <rPh sb="0" eb="2">
      <t>コクホ</t>
    </rPh>
    <rPh sb="2" eb="4">
      <t>カニュウ</t>
    </rPh>
    <rPh sb="4" eb="6">
      <t>キカン</t>
    </rPh>
    <phoneticPr fontId="1"/>
  </si>
  <si>
    <t>世帯全体</t>
    <rPh sb="0" eb="2">
      <t>セタイ</t>
    </rPh>
    <rPh sb="2" eb="4">
      <t>ゼンタイ</t>
    </rPh>
    <phoneticPr fontId="1"/>
  </si>
  <si>
    <t>６人目</t>
    <rPh sb="1" eb="2">
      <t>ニン</t>
    </rPh>
    <rPh sb="2" eb="3">
      <t>メ</t>
    </rPh>
    <phoneticPr fontId="1"/>
  </si>
  <si>
    <t>７人目</t>
    <rPh sb="1" eb="2">
      <t>ニン</t>
    </rPh>
    <rPh sb="2" eb="3">
      <t>メ</t>
    </rPh>
    <phoneticPr fontId="1"/>
  </si>
  <si>
    <t>８人目</t>
    <rPh sb="1" eb="2">
      <t>ニン</t>
    </rPh>
    <rPh sb="2" eb="3">
      <t>メ</t>
    </rPh>
    <phoneticPr fontId="1"/>
  </si>
  <si>
    <t>９人目</t>
    <rPh sb="1" eb="2">
      <t>ニン</t>
    </rPh>
    <rPh sb="2" eb="3">
      <t>メ</t>
    </rPh>
    <phoneticPr fontId="1"/>
  </si>
  <si>
    <t>１０人目</t>
    <rPh sb="2" eb="3">
      <t>ニン</t>
    </rPh>
    <rPh sb="3" eb="4">
      <t>メ</t>
    </rPh>
    <phoneticPr fontId="1"/>
  </si>
  <si>
    <t>課税総所得</t>
    <rPh sb="0" eb="2">
      <t>カゼイ</t>
    </rPh>
    <rPh sb="2" eb="5">
      <t>ソウショトク</t>
    </rPh>
    <phoneticPr fontId="1"/>
  </si>
  <si>
    <t>限度額
（加入月分）</t>
    <rPh sb="0" eb="2">
      <t>ゲンド</t>
    </rPh>
    <rPh sb="2" eb="3">
      <t>ガク</t>
    </rPh>
    <rPh sb="5" eb="7">
      <t>カニュウ</t>
    </rPh>
    <rPh sb="7" eb="8">
      <t>ツキ</t>
    </rPh>
    <rPh sb="8" eb="9">
      <t>ブン</t>
    </rPh>
    <phoneticPr fontId="1"/>
  </si>
  <si>
    <r>
      <t xml:space="preserve">算出税額
</t>
    </r>
    <r>
      <rPr>
        <sz val="10"/>
        <color theme="1"/>
        <rFont val="ＭＳ Ｐゴシック"/>
        <family val="3"/>
        <charset val="128"/>
      </rPr>
      <t>（端数処理後）</t>
    </r>
    <rPh sb="0" eb="2">
      <t>サンシュツ</t>
    </rPh>
    <rPh sb="2" eb="3">
      <t>ゼイ</t>
    </rPh>
    <rPh sb="3" eb="4">
      <t>ガク</t>
    </rPh>
    <rPh sb="6" eb="8">
      <t>ハスウ</t>
    </rPh>
    <rPh sb="8" eb="10">
      <t>ショリ</t>
    </rPh>
    <rPh sb="10" eb="11">
      <t>ゴ</t>
    </rPh>
    <phoneticPr fontId="1"/>
  </si>
  <si>
    <t>参考税額端数</t>
    <rPh sb="0" eb="2">
      <t>サンコウ</t>
    </rPh>
    <rPh sb="2" eb="4">
      <t>ゼイガク</t>
    </rPh>
    <rPh sb="4" eb="6">
      <t>ハスウ</t>
    </rPh>
    <phoneticPr fontId="1"/>
  </si>
  <si>
    <t>参考税額（仮）</t>
    <rPh sb="0" eb="2">
      <t>サンコウ</t>
    </rPh>
    <rPh sb="2" eb="4">
      <t>ゼイガク</t>
    </rPh>
    <rPh sb="5" eb="6">
      <t>カリ</t>
    </rPh>
    <phoneticPr fontId="1"/>
  </si>
  <si>
    <t>→以下、参考税額算出用データ。</t>
    <rPh sb="1" eb="3">
      <t>イカ</t>
    </rPh>
    <rPh sb="4" eb="6">
      <t>サンコウ</t>
    </rPh>
    <rPh sb="6" eb="8">
      <t>ゼイガク</t>
    </rPh>
    <rPh sb="8" eb="10">
      <t>サンシュツ</t>
    </rPh>
    <rPh sb="10" eb="11">
      <t>ヨウ</t>
    </rPh>
    <phoneticPr fontId="1"/>
  </si>
  <si>
    <t>所得割額
（加入月分）</t>
    <rPh sb="0" eb="2">
      <t>ショトク</t>
    </rPh>
    <rPh sb="2" eb="3">
      <t>ワリ</t>
    </rPh>
    <rPh sb="3" eb="4">
      <t>ガク</t>
    </rPh>
    <rPh sb="6" eb="8">
      <t>カニュウ</t>
    </rPh>
    <rPh sb="8" eb="9">
      <t>ツキ</t>
    </rPh>
    <rPh sb="9" eb="10">
      <t>ブン</t>
    </rPh>
    <phoneticPr fontId="1"/>
  </si>
  <si>
    <t>平等割額
（加入月分）</t>
    <rPh sb="0" eb="2">
      <t>ビョウドウ</t>
    </rPh>
    <rPh sb="2" eb="3">
      <t>ワリ</t>
    </rPh>
    <rPh sb="3" eb="4">
      <t>ガク</t>
    </rPh>
    <rPh sb="6" eb="8">
      <t>カニュウ</t>
    </rPh>
    <rPh sb="8" eb="9">
      <t>ツキ</t>
    </rPh>
    <rPh sb="9" eb="10">
      <t>ブン</t>
    </rPh>
    <phoneticPr fontId="1"/>
  </si>
  <si>
    <t>個人年税額Ａ</t>
    <rPh sb="0" eb="2">
      <t>コジン</t>
    </rPh>
    <rPh sb="2" eb="5">
      <t>ネンゼイガク</t>
    </rPh>
    <phoneticPr fontId="1"/>
  </si>
  <si>
    <t>参考税額</t>
    <rPh sb="0" eb="2">
      <t>サンコウ</t>
    </rPh>
    <rPh sb="2" eb="4">
      <t>ゼイガク</t>
    </rPh>
    <phoneticPr fontId="1"/>
  </si>
  <si>
    <t>＜年齢要件判定用基準日＞</t>
    <rPh sb="1" eb="3">
      <t>ネンレイ</t>
    </rPh>
    <rPh sb="3" eb="5">
      <t>ヨウケン</t>
    </rPh>
    <rPh sb="5" eb="7">
      <t>ハンテイ</t>
    </rPh>
    <rPh sb="7" eb="8">
      <t>ヨウ</t>
    </rPh>
    <rPh sb="8" eb="11">
      <t>キジュンビ</t>
    </rPh>
    <phoneticPr fontId="1"/>
  </si>
  <si>
    <t>←この日以後生まれた子は、当該賦課年度において国保税が賦課される月がない。
※　この日の前日に生まれた子は、当該賦課年度において、3月分のみ国保税が賦課される。</t>
    <rPh sb="3" eb="4">
      <t>ヒ</t>
    </rPh>
    <rPh sb="4" eb="6">
      <t>イゴ</t>
    </rPh>
    <rPh sb="6" eb="7">
      <t>ウ</t>
    </rPh>
    <rPh sb="10" eb="11">
      <t>コ</t>
    </rPh>
    <rPh sb="13" eb="15">
      <t>トウガイ</t>
    </rPh>
    <rPh sb="15" eb="17">
      <t>フカ</t>
    </rPh>
    <rPh sb="17" eb="19">
      <t>ネンド</t>
    </rPh>
    <rPh sb="23" eb="25">
      <t>コクホ</t>
    </rPh>
    <rPh sb="25" eb="26">
      <t>ゼイ</t>
    </rPh>
    <rPh sb="27" eb="29">
      <t>フカ</t>
    </rPh>
    <rPh sb="32" eb="33">
      <t>ツキ</t>
    </rPh>
    <phoneticPr fontId="1"/>
  </si>
  <si>
    <t>←この日よりも後に生まれた子は、当該賦課年度において未就学児。
※　この日生まれた子は、当該賦課年度において未就学児でない。</t>
    <rPh sb="3" eb="4">
      <t>ヒ</t>
    </rPh>
    <rPh sb="7" eb="8">
      <t>アト</t>
    </rPh>
    <rPh sb="9" eb="10">
      <t>ウ</t>
    </rPh>
    <rPh sb="13" eb="14">
      <t>コ</t>
    </rPh>
    <rPh sb="16" eb="18">
      <t>トウガイ</t>
    </rPh>
    <rPh sb="18" eb="20">
      <t>フカ</t>
    </rPh>
    <rPh sb="20" eb="22">
      <t>ネンド</t>
    </rPh>
    <rPh sb="26" eb="30">
      <t>ミシュウガクジ</t>
    </rPh>
    <phoneticPr fontId="1"/>
  </si>
  <si>
    <t>←この日よりも後に生まれた人は、当該賦課年度において介護適用月がない。
※　この日生まれた人は、当該賦課年度において、3月のみ介護適用。</t>
    <rPh sb="3" eb="4">
      <t>ヒ</t>
    </rPh>
    <rPh sb="7" eb="8">
      <t>アト</t>
    </rPh>
    <rPh sb="9" eb="10">
      <t>ウ</t>
    </rPh>
    <rPh sb="13" eb="14">
      <t>ヒト</t>
    </rPh>
    <rPh sb="16" eb="18">
      <t>トウガイ</t>
    </rPh>
    <rPh sb="18" eb="20">
      <t>フカ</t>
    </rPh>
    <rPh sb="20" eb="22">
      <t>ネンド</t>
    </rPh>
    <rPh sb="26" eb="28">
      <t>カイゴ</t>
    </rPh>
    <rPh sb="28" eb="30">
      <t>テキヨウ</t>
    </rPh>
    <rPh sb="30" eb="31">
      <t>ツキ</t>
    </rPh>
    <phoneticPr fontId="1"/>
  </si>
  <si>
    <t>←この日以前に生まれた人は、当該賦課年度において介護適用月がない。
※　この日の翌日に生まれた人は、当該賦課年度において、4月のみ介護適用。</t>
    <rPh sb="3" eb="4">
      <t>ヒ</t>
    </rPh>
    <rPh sb="4" eb="6">
      <t>イゼン</t>
    </rPh>
    <rPh sb="7" eb="8">
      <t>ウ</t>
    </rPh>
    <rPh sb="11" eb="12">
      <t>ヒト</t>
    </rPh>
    <rPh sb="14" eb="16">
      <t>トウガイ</t>
    </rPh>
    <rPh sb="16" eb="18">
      <t>フカ</t>
    </rPh>
    <rPh sb="18" eb="20">
      <t>ネンド</t>
    </rPh>
    <rPh sb="24" eb="26">
      <t>カイゴ</t>
    </rPh>
    <rPh sb="26" eb="28">
      <t>テキヨウ</t>
    </rPh>
    <rPh sb="28" eb="29">
      <t>ツキ</t>
    </rPh>
    <phoneticPr fontId="1"/>
  </si>
  <si>
    <t>←この日よりも前に生まれた人は、当該賦課年度において国保税が賦課される月がない。
※　この日に生まれた人は、当該賦課年度において、4月分のみ国保税が賦課される。</t>
    <rPh sb="3" eb="4">
      <t>ヒ</t>
    </rPh>
    <rPh sb="7" eb="8">
      <t>マエ</t>
    </rPh>
    <rPh sb="9" eb="10">
      <t>ウ</t>
    </rPh>
    <rPh sb="13" eb="14">
      <t>ヒト</t>
    </rPh>
    <rPh sb="16" eb="18">
      <t>トウガイ</t>
    </rPh>
    <rPh sb="18" eb="20">
      <t>フカ</t>
    </rPh>
    <rPh sb="20" eb="22">
      <t>ネンド</t>
    </rPh>
    <rPh sb="26" eb="28">
      <t>コクホ</t>
    </rPh>
    <rPh sb="28" eb="29">
      <t>ゼイ</t>
    </rPh>
    <rPh sb="30" eb="32">
      <t>フカ</t>
    </rPh>
    <rPh sb="35" eb="36">
      <t>ツキ</t>
    </rPh>
    <rPh sb="36" eb="37">
      <t>カツキ</t>
    </rPh>
    <phoneticPr fontId="1"/>
  </si>
  <si>
    <t>税率等</t>
    <phoneticPr fontId="1"/>
  </si>
  <si>
    <t>低所得世帯軽減</t>
    <rPh sb="0" eb="3">
      <t>テイショトク</t>
    </rPh>
    <rPh sb="3" eb="5">
      <t>セタイ</t>
    </rPh>
    <rPh sb="5" eb="7">
      <t>ケイゲン</t>
    </rPh>
    <phoneticPr fontId="1"/>
  </si>
  <si>
    <t>軽減無し</t>
    <rPh sb="0" eb="2">
      <t>ケイゲン</t>
    </rPh>
    <rPh sb="2" eb="3">
      <t>ナ</t>
    </rPh>
    <phoneticPr fontId="1"/>
  </si>
  <si>
    <t>２割軽減</t>
    <rPh sb="1" eb="2">
      <t>ワリ</t>
    </rPh>
    <rPh sb="2" eb="4">
      <t>ケイゲン</t>
    </rPh>
    <phoneticPr fontId="1"/>
  </si>
  <si>
    <t>７割軽減</t>
    <rPh sb="1" eb="2">
      <t>ワリ</t>
    </rPh>
    <rPh sb="2" eb="4">
      <t>ケイゲン</t>
    </rPh>
    <phoneticPr fontId="1"/>
  </si>
  <si>
    <t>５割軽減</t>
    <rPh sb="1" eb="2">
      <t>ワリ</t>
    </rPh>
    <rPh sb="2" eb="4">
      <t>ケイゲン</t>
    </rPh>
    <phoneticPr fontId="1"/>
  </si>
  <si>
    <t>←この表の入力規制リスト</t>
    <rPh sb="3" eb="4">
      <t>ヒョウ</t>
    </rPh>
    <rPh sb="5" eb="7">
      <t>ニュウリョク</t>
    </rPh>
    <rPh sb="7" eb="9">
      <t>キセイ</t>
    </rPh>
    <phoneticPr fontId="1"/>
  </si>
  <si>
    <t>医療</t>
    <rPh sb="0" eb="2">
      <t>イリョウ</t>
    </rPh>
    <phoneticPr fontId="1"/>
  </si>
  <si>
    <t>支援</t>
    <rPh sb="0" eb="2">
      <t>シエン</t>
    </rPh>
    <phoneticPr fontId="1"/>
  </si>
  <si>
    <t>介護</t>
    <rPh sb="0" eb="2">
      <t>カイゴ</t>
    </rPh>
    <phoneticPr fontId="1"/>
  </si>
  <si>
    <t>計</t>
    <rPh sb="0" eb="1">
      <t>ケイ</t>
    </rPh>
    <phoneticPr fontId="1"/>
  </si>
  <si>
    <t>第１期</t>
    <rPh sb="0" eb="1">
      <t>ダイ</t>
    </rPh>
    <rPh sb="2" eb="3">
      <t>キ</t>
    </rPh>
    <phoneticPr fontId="1"/>
  </si>
  <si>
    <t>第２期</t>
    <rPh sb="0" eb="1">
      <t>ダイ</t>
    </rPh>
    <rPh sb="2" eb="3">
      <t>キ</t>
    </rPh>
    <phoneticPr fontId="1"/>
  </si>
  <si>
    <t>第３期</t>
    <rPh sb="0" eb="1">
      <t>ダイ</t>
    </rPh>
    <rPh sb="2" eb="3">
      <t>キ</t>
    </rPh>
    <phoneticPr fontId="1"/>
  </si>
  <si>
    <t>第４期</t>
    <rPh sb="0" eb="1">
      <t>ダイ</t>
    </rPh>
    <rPh sb="2" eb="3">
      <t>キ</t>
    </rPh>
    <phoneticPr fontId="1"/>
  </si>
  <si>
    <t>第５期</t>
    <rPh sb="0" eb="1">
      <t>ダイ</t>
    </rPh>
    <rPh sb="2" eb="3">
      <t>キ</t>
    </rPh>
    <phoneticPr fontId="1"/>
  </si>
  <si>
    <t>第６期</t>
    <rPh sb="0" eb="1">
      <t>ダイ</t>
    </rPh>
    <rPh sb="2" eb="3">
      <t>キ</t>
    </rPh>
    <phoneticPr fontId="1"/>
  </si>
  <si>
    <t>第７期</t>
    <rPh sb="0" eb="1">
      <t>ダイ</t>
    </rPh>
    <rPh sb="2" eb="3">
      <t>キ</t>
    </rPh>
    <phoneticPr fontId="1"/>
  </si>
  <si>
    <t>第８期</t>
    <rPh sb="0" eb="1">
      <t>ダイ</t>
    </rPh>
    <rPh sb="2" eb="3">
      <t>キ</t>
    </rPh>
    <phoneticPr fontId="1"/>
  </si>
  <si>
    <t>随１期</t>
    <rPh sb="0" eb="1">
      <t>ズイ</t>
    </rPh>
    <rPh sb="2" eb="3">
      <t>キ</t>
    </rPh>
    <phoneticPr fontId="1"/>
  </si>
  <si>
    <t>（賦課年度：</t>
    <rPh sb="1" eb="3">
      <t>フカ</t>
    </rPh>
    <rPh sb="3" eb="5">
      <t>ネンド</t>
    </rPh>
    <phoneticPr fontId="1"/>
  </si>
  <si>
    <t>世帯全体</t>
    <rPh sb="0" eb="2">
      <t>セタイ</t>
    </rPh>
    <rPh sb="2" eb="4">
      <t>ゼンタイ</t>
    </rPh>
    <phoneticPr fontId="1"/>
  </si>
  <si>
    <t>期別税額</t>
    <rPh sb="0" eb="1">
      <t>キ</t>
    </rPh>
    <rPh sb="1" eb="2">
      <t>ベツ</t>
    </rPh>
    <rPh sb="2" eb="4">
      <t>ゼイガク</t>
    </rPh>
    <phoneticPr fontId="1"/>
  </si>
  <si>
    <t>【税額試算の基礎となる数値】</t>
    <rPh sb="1" eb="3">
      <t>ゼイガク</t>
    </rPh>
    <rPh sb="3" eb="5">
      <t>シサン</t>
    </rPh>
    <rPh sb="6" eb="8">
      <t>キソ</t>
    </rPh>
    <rPh sb="11" eb="13">
      <t>スウチ</t>
    </rPh>
    <phoneticPr fontId="1"/>
  </si>
  <si>
    <t>【試算結果】</t>
    <rPh sb="1" eb="3">
      <t>シサン</t>
    </rPh>
    <rPh sb="3" eb="5">
      <t>ケッカ</t>
    </rPh>
    <phoneticPr fontId="1"/>
  </si>
  <si>
    <t>納期限</t>
    <rPh sb="0" eb="3">
      <t>ノウキゲン</t>
    </rPh>
    <phoneticPr fontId="1"/>
  </si>
  <si>
    <t>７月末日</t>
    <rPh sb="1" eb="2">
      <t>ガツ</t>
    </rPh>
    <rPh sb="2" eb="3">
      <t>マツ</t>
    </rPh>
    <rPh sb="3" eb="4">
      <t>ジツ</t>
    </rPh>
    <phoneticPr fontId="1"/>
  </si>
  <si>
    <t>８月末日</t>
    <rPh sb="1" eb="2">
      <t>ガツ</t>
    </rPh>
    <rPh sb="2" eb="3">
      <t>マツ</t>
    </rPh>
    <rPh sb="3" eb="4">
      <t>ジツ</t>
    </rPh>
    <phoneticPr fontId="1"/>
  </si>
  <si>
    <t>９月末日</t>
    <rPh sb="1" eb="2">
      <t>ガツ</t>
    </rPh>
    <rPh sb="2" eb="3">
      <t>マツ</t>
    </rPh>
    <rPh sb="3" eb="4">
      <t>ジツ</t>
    </rPh>
    <phoneticPr fontId="1"/>
  </si>
  <si>
    <t>１０月末日</t>
    <rPh sb="2" eb="3">
      <t>ガツ</t>
    </rPh>
    <rPh sb="3" eb="4">
      <t>マツ</t>
    </rPh>
    <rPh sb="4" eb="5">
      <t>ジツ</t>
    </rPh>
    <phoneticPr fontId="1"/>
  </si>
  <si>
    <t>１１月末日</t>
    <rPh sb="2" eb="3">
      <t>ガツ</t>
    </rPh>
    <rPh sb="3" eb="4">
      <t>マツ</t>
    </rPh>
    <rPh sb="4" eb="5">
      <t>ジツ</t>
    </rPh>
    <phoneticPr fontId="1"/>
  </si>
  <si>
    <t>１２月末日</t>
    <rPh sb="2" eb="3">
      <t>ガツ</t>
    </rPh>
    <rPh sb="3" eb="4">
      <t>マツ</t>
    </rPh>
    <rPh sb="4" eb="5">
      <t>ジツ</t>
    </rPh>
    <phoneticPr fontId="1"/>
  </si>
  <si>
    <t>１月末日</t>
    <rPh sb="1" eb="2">
      <t>ガツ</t>
    </rPh>
    <rPh sb="2" eb="3">
      <t>マツ</t>
    </rPh>
    <rPh sb="3" eb="4">
      <t>ジツ</t>
    </rPh>
    <phoneticPr fontId="1"/>
  </si>
  <si>
    <t>２月末日</t>
    <rPh sb="1" eb="2">
      <t>ガツ</t>
    </rPh>
    <rPh sb="2" eb="3">
      <t>マツ</t>
    </rPh>
    <rPh sb="3" eb="4">
      <t>ジツ</t>
    </rPh>
    <phoneticPr fontId="1"/>
  </si>
  <si>
    <t>（国保に加入する月数（４月～翌年３月の間）：</t>
    <rPh sb="1" eb="3">
      <t>コクホ</t>
    </rPh>
    <rPh sb="4" eb="6">
      <t>カニュウ</t>
    </rPh>
    <rPh sb="8" eb="9">
      <t>ツキ</t>
    </rPh>
    <rPh sb="9" eb="10">
      <t>スウ</t>
    </rPh>
    <rPh sb="12" eb="13">
      <t>ガツ</t>
    </rPh>
    <rPh sb="14" eb="16">
      <t>ヨクネン</t>
    </rPh>
    <rPh sb="17" eb="18">
      <t>ガツ</t>
    </rPh>
    <rPh sb="19" eb="20">
      <t>アイダ</t>
    </rPh>
    <phoneticPr fontId="1"/>
  </si>
  <si>
    <t>か月）</t>
    <rPh sb="1" eb="2">
      <t>ゲツ</t>
    </rPh>
    <phoneticPr fontId="1"/>
  </si>
  <si>
    <t>※</t>
    <phoneticPr fontId="1"/>
  </si>
  <si>
    <t>月頃</t>
    <rPh sb="0" eb="1">
      <t>ツキ</t>
    </rPh>
    <rPh sb="1" eb="2">
      <t>コロ</t>
    </rPh>
    <phoneticPr fontId="1"/>
  </si>
  <si>
    <t>非自発的
失業</t>
    <rPh sb="0" eb="1">
      <t>ヒ</t>
    </rPh>
    <rPh sb="1" eb="4">
      <t>ジハツテキ</t>
    </rPh>
    <rPh sb="5" eb="6">
      <t>シツ</t>
    </rPh>
    <rPh sb="6" eb="7">
      <t>ギョウ</t>
    </rPh>
    <phoneticPr fontId="1"/>
  </si>
  <si>
    <t>所得金額
調整控除</t>
    <rPh sb="0" eb="2">
      <t>ショトク</t>
    </rPh>
    <rPh sb="2" eb="4">
      <t>キンガク</t>
    </rPh>
    <rPh sb="5" eb="7">
      <t>チョウセイ</t>
    </rPh>
    <rPh sb="7" eb="9">
      <t>コウジョ</t>
    </rPh>
    <phoneticPr fontId="1"/>
  </si>
  <si>
    <t>課税総所得額</t>
    <rPh sb="0" eb="2">
      <t>カゼイ</t>
    </rPh>
    <rPh sb="2" eb="5">
      <t>ソウショトク</t>
    </rPh>
    <rPh sb="5" eb="6">
      <t>ガク</t>
    </rPh>
    <phoneticPr fontId="1"/>
  </si>
  <si>
    <t>（</t>
    <phoneticPr fontId="1"/>
  </si>
  <si>
    <t>か月分）</t>
    <rPh sb="1" eb="2">
      <t>ゲツ</t>
    </rPh>
    <rPh sb="2" eb="3">
      <t>ブン</t>
    </rPh>
    <phoneticPr fontId="1"/>
  </si>
  <si>
    <t>＜対応していない項目＞</t>
    <phoneticPr fontId="1"/>
  </si>
  <si>
    <t>【税率等】</t>
    <rPh sb="1" eb="3">
      <t>ゼイリツ</t>
    </rPh>
    <rPh sb="3" eb="4">
      <t>トウ</t>
    </rPh>
    <phoneticPr fontId="1"/>
  </si>
  <si>
    <t xml:space="preserve"> ← このような黄色い部分を入力してください。</t>
    <rPh sb="8" eb="10">
      <t>キイロ</t>
    </rPh>
    <rPh sb="11" eb="13">
      <t>ブブン</t>
    </rPh>
    <rPh sb="14" eb="16">
      <t>ニュウリョク</t>
    </rPh>
    <phoneticPr fontId="1"/>
  </si>
  <si>
    <t>【注意事項】</t>
    <rPh sb="1" eb="3">
      <t>チュウイ</t>
    </rPh>
    <rPh sb="3" eb="5">
      <t>ジコウ</t>
    </rPh>
    <phoneticPr fontId="1"/>
  </si>
  <si>
    <t>＜問合せ先＞</t>
    <phoneticPr fontId="1"/>
  </si>
  <si>
    <t>※</t>
    <phoneticPr fontId="1"/>
  </si>
  <si>
    <t>当試算結果は、概算額となります。納税通知書により通知する確定額と異なる場合がありますので、ご承知おきください。</t>
    <phoneticPr fontId="1"/>
  </si>
  <si>
    <t>　当試算表では、次の項目に対応していません。</t>
    <phoneticPr fontId="1"/>
  </si>
  <si>
    <t>　より詳細に計算したい方や、当試算表が使えない場合は、電話にて回答しますので、当試算表の入力項目（国保加入者の人数、年齢、前年の収入等）をご準備の上、次の電話番号に問い合せてください。</t>
    <phoneticPr fontId="1"/>
  </si>
  <si>
    <t>（1か月あたりの税額）</t>
    <rPh sb="3" eb="4">
      <t>ゲツ</t>
    </rPh>
    <rPh sb="8" eb="10">
      <t>ゼイガク</t>
    </rPh>
    <phoneticPr fontId="1"/>
  </si>
  <si>
    <t>翌年1</t>
    <rPh sb="0" eb="2">
      <t>ヨクネン</t>
    </rPh>
    <phoneticPr fontId="1"/>
  </si>
  <si>
    <t>翌年2</t>
    <rPh sb="0" eb="2">
      <t>ヨクネン</t>
    </rPh>
    <phoneticPr fontId="1"/>
  </si>
  <si>
    <t>翌年3</t>
    <rPh sb="0" eb="2">
      <t>ヨクネン</t>
    </rPh>
    <phoneticPr fontId="1"/>
  </si>
  <si>
    <t>第1期</t>
    <rPh sb="0" eb="1">
      <t>ダイ</t>
    </rPh>
    <rPh sb="2" eb="3">
      <t>キ</t>
    </rPh>
    <phoneticPr fontId="1"/>
  </si>
  <si>
    <t>第2期</t>
    <rPh sb="0" eb="1">
      <t>ダイ</t>
    </rPh>
    <rPh sb="2" eb="3">
      <t>キ</t>
    </rPh>
    <phoneticPr fontId="1"/>
  </si>
  <si>
    <t>第3期</t>
    <rPh sb="0" eb="1">
      <t>ダイ</t>
    </rPh>
    <rPh sb="2" eb="3">
      <t>キ</t>
    </rPh>
    <phoneticPr fontId="1"/>
  </si>
  <si>
    <t>第4期</t>
    <rPh sb="0" eb="1">
      <t>ダイ</t>
    </rPh>
    <rPh sb="2" eb="3">
      <t>キ</t>
    </rPh>
    <phoneticPr fontId="1"/>
  </si>
  <si>
    <t>第5期</t>
    <rPh sb="0" eb="1">
      <t>ダイ</t>
    </rPh>
    <rPh sb="2" eb="3">
      <t>キ</t>
    </rPh>
    <phoneticPr fontId="1"/>
  </si>
  <si>
    <t>第6期</t>
    <rPh sb="0" eb="1">
      <t>ダイ</t>
    </rPh>
    <rPh sb="2" eb="3">
      <t>キ</t>
    </rPh>
    <phoneticPr fontId="1"/>
  </si>
  <si>
    <t>第7期</t>
    <rPh sb="0" eb="1">
      <t>ダイ</t>
    </rPh>
    <rPh sb="2" eb="3">
      <t>キ</t>
    </rPh>
    <phoneticPr fontId="1"/>
  </si>
  <si>
    <t>第8期</t>
    <rPh sb="0" eb="1">
      <t>ダイ</t>
    </rPh>
    <rPh sb="2" eb="3">
      <t>キ</t>
    </rPh>
    <phoneticPr fontId="1"/>
  </si>
  <si>
    <t>随1期</t>
    <rPh sb="0" eb="1">
      <t>ズイ</t>
    </rPh>
    <rPh sb="2" eb="3">
      <t>キ</t>
    </rPh>
    <phoneticPr fontId="1"/>
  </si>
  <si>
    <t>年税額</t>
    <rPh sb="0" eb="3">
      <t>ネンゼイガク</t>
    </rPh>
    <phoneticPr fontId="1"/>
  </si>
  <si>
    <t>国保加入の手続きをする時期</t>
    <rPh sb="0" eb="2">
      <t>コクホ</t>
    </rPh>
    <rPh sb="2" eb="4">
      <t>カニュウ</t>
    </rPh>
    <rPh sb="5" eb="7">
      <t>テツヅ</t>
    </rPh>
    <rPh sb="11" eb="13">
      <t>ジキ</t>
    </rPh>
    <phoneticPr fontId="1"/>
  </si>
  <si>
    <t>３月末日</t>
    <rPh sb="1" eb="2">
      <t>ガツ</t>
    </rPh>
    <rPh sb="2" eb="3">
      <t>マツ</t>
    </rPh>
    <rPh sb="3" eb="4">
      <t>ジツ</t>
    </rPh>
    <phoneticPr fontId="1"/>
  </si>
  <si>
    <t>所得割+均等割
（12か月分）</t>
    <rPh sb="0" eb="2">
      <t>ショトク</t>
    </rPh>
    <rPh sb="2" eb="3">
      <t>ワリ</t>
    </rPh>
    <rPh sb="4" eb="6">
      <t>キントウ</t>
    </rPh>
    <rPh sb="6" eb="7">
      <t>ワリ</t>
    </rPh>
    <rPh sb="12" eb="13">
      <t>ゲツ</t>
    </rPh>
    <rPh sb="13" eb="14">
      <t>ブン</t>
    </rPh>
    <phoneticPr fontId="1"/>
  </si>
  <si>
    <t>所得割+均等割
（加入月分）</t>
    <rPh sb="0" eb="2">
      <t>ショトク</t>
    </rPh>
    <rPh sb="2" eb="3">
      <t>ワリ</t>
    </rPh>
    <rPh sb="4" eb="6">
      <t>キントウ</t>
    </rPh>
    <rPh sb="6" eb="7">
      <t>ワリ</t>
    </rPh>
    <rPh sb="9" eb="11">
      <t>カニュウ</t>
    </rPh>
    <rPh sb="11" eb="12">
      <t>ツキ</t>
    </rPh>
    <rPh sb="12" eb="13">
      <t>ブン</t>
    </rPh>
    <phoneticPr fontId="1"/>
  </si>
  <si>
    <t>所得割額
（12か月分）</t>
    <rPh sb="0" eb="2">
      <t>ショトク</t>
    </rPh>
    <rPh sb="2" eb="3">
      <t>ワリ</t>
    </rPh>
    <rPh sb="3" eb="4">
      <t>ガク</t>
    </rPh>
    <rPh sb="9" eb="10">
      <t>ゲツ</t>
    </rPh>
    <rPh sb="10" eb="11">
      <t>ブン</t>
    </rPh>
    <phoneticPr fontId="1"/>
  </si>
  <si>
    <t>均等割額
（12か月分）</t>
    <rPh sb="0" eb="2">
      <t>キントウ</t>
    </rPh>
    <rPh sb="2" eb="3">
      <t>ワリ</t>
    </rPh>
    <rPh sb="3" eb="4">
      <t>ガク</t>
    </rPh>
    <rPh sb="9" eb="10">
      <t>ゲツ</t>
    </rPh>
    <rPh sb="10" eb="11">
      <t>ブン</t>
    </rPh>
    <phoneticPr fontId="1"/>
  </si>
  <si>
    <t>軽減判定</t>
    <rPh sb="0" eb="2">
      <t>ケイゲン</t>
    </rPh>
    <rPh sb="2" eb="4">
      <t>ハンテイ</t>
    </rPh>
    <phoneticPr fontId="1"/>
  </si>
  <si>
    <t>軽減判定所得</t>
    <rPh sb="0" eb="6">
      <t>ケイゲンハンテイショトク</t>
    </rPh>
    <phoneticPr fontId="1"/>
  </si>
  <si>
    <t>軽減判定　世帯試算計算結果</t>
    <rPh sb="0" eb="4">
      <t>ケイゲンハンテイ</t>
    </rPh>
    <rPh sb="5" eb="7">
      <t>セタイ</t>
    </rPh>
    <rPh sb="7" eb="9">
      <t>シサン</t>
    </rPh>
    <rPh sb="9" eb="11">
      <t>ケイサン</t>
    </rPh>
    <rPh sb="11" eb="13">
      <t>ケッカ</t>
    </rPh>
    <phoneticPr fontId="1"/>
  </si>
  <si>
    <t>年所軽減控除（65歳以上）</t>
    <rPh sb="0" eb="1">
      <t>ネン</t>
    </rPh>
    <rPh sb="1" eb="2">
      <t>ショ</t>
    </rPh>
    <rPh sb="2" eb="4">
      <t>ケイゲン</t>
    </rPh>
    <rPh sb="4" eb="6">
      <t>コウジョ</t>
    </rPh>
    <rPh sb="9" eb="12">
      <t>サイイジョウ</t>
    </rPh>
    <phoneticPr fontId="1"/>
  </si>
  <si>
    <t>給与所得者等判定</t>
    <rPh sb="0" eb="5">
      <t>キュウヨショトクシャ</t>
    </rPh>
    <rPh sb="5" eb="6">
      <t>トウ</t>
    </rPh>
    <rPh sb="6" eb="8">
      <t>ハンテイ</t>
    </rPh>
    <phoneticPr fontId="1"/>
  </si>
  <si>
    <t>軽減年金所得</t>
    <rPh sb="0" eb="2">
      <t>ケイゲン</t>
    </rPh>
    <rPh sb="2" eb="6">
      <t>ネンキンショトク</t>
    </rPh>
    <phoneticPr fontId="1"/>
  </si>
  <si>
    <t>調整控除後給与所得</t>
    <rPh sb="0" eb="5">
      <t>チョウセイコウジョゴ</t>
    </rPh>
    <rPh sb="5" eb="9">
      <t>キュウヨショトク</t>
    </rPh>
    <phoneticPr fontId="1"/>
  </si>
  <si>
    <t>給与所得者等数</t>
    <rPh sb="0" eb="5">
      <t>キュウヨショトクシャ</t>
    </rPh>
    <rPh sb="5" eb="6">
      <t>トウ</t>
    </rPh>
    <rPh sb="6" eb="7">
      <t>カズ</t>
    </rPh>
    <phoneticPr fontId="1"/>
  </si>
  <si>
    <t>合計軽減判定所得</t>
    <rPh sb="0" eb="2">
      <t>ゴウケイ</t>
    </rPh>
    <rPh sb="2" eb="8">
      <t>ケイゲンハンテイショトク</t>
    </rPh>
    <phoneticPr fontId="1"/>
  </si>
  <si>
    <t>被保数</t>
    <rPh sb="0" eb="2">
      <t>ヒホ</t>
    </rPh>
    <rPh sb="2" eb="3">
      <t>スウ</t>
    </rPh>
    <phoneticPr fontId="1"/>
  </si>
  <si>
    <t>【軽減判定結果】</t>
    <rPh sb="1" eb="5">
      <t>ケイゲンハンテイ</t>
    </rPh>
    <rPh sb="5" eb="7">
      <t>ケッカ</t>
    </rPh>
    <phoneticPr fontId="1"/>
  </si>
  <si>
    <t>5割軽減後</t>
    <rPh sb="1" eb="5">
      <t>ワリケイゲンゴ</t>
    </rPh>
    <phoneticPr fontId="1"/>
  </si>
  <si>
    <t>7割軽減後</t>
    <rPh sb="1" eb="4">
      <t>ワリケイゲン</t>
    </rPh>
    <rPh sb="4" eb="5">
      <t>ゴ</t>
    </rPh>
    <phoneticPr fontId="1"/>
  </si>
  <si>
    <t>【医療分】</t>
    <rPh sb="1" eb="4">
      <t>イリョウブン</t>
    </rPh>
    <phoneticPr fontId="1"/>
  </si>
  <si>
    <t>【後期分】</t>
    <rPh sb="1" eb="4">
      <t>コウキブン</t>
    </rPh>
    <phoneticPr fontId="1"/>
  </si>
  <si>
    <t>【合計額】</t>
    <rPh sb="1" eb="4">
      <t>ゴウケイガク</t>
    </rPh>
    <phoneticPr fontId="1"/>
  </si>
  <si>
    <r>
      <t xml:space="preserve">【介護分】
</t>
    </r>
    <r>
      <rPr>
        <sz val="8"/>
        <color theme="1"/>
        <rFont val="ＭＳ 明朝"/>
        <family val="1"/>
        <charset val="128"/>
      </rPr>
      <t>40歳～64歳</t>
    </r>
    <rPh sb="1" eb="4">
      <t>カイゴブン</t>
    </rPh>
    <rPh sb="8" eb="9">
      <t>サイ</t>
    </rPh>
    <rPh sb="12" eb="13">
      <t>サイ</t>
    </rPh>
    <phoneticPr fontId="1"/>
  </si>
  <si>
    <t>2割軽減後</t>
    <rPh sb="1" eb="2">
      <t>ワリ</t>
    </rPh>
    <rPh sb="2" eb="5">
      <t>ケイゲンゴ</t>
    </rPh>
    <phoneticPr fontId="1"/>
  </si>
  <si>
    <t>【軽減後均等割額】</t>
    <rPh sb="1" eb="3">
      <t>ケイゲン</t>
    </rPh>
    <rPh sb="3" eb="4">
      <t>ゴ</t>
    </rPh>
    <rPh sb="4" eb="7">
      <t>キントウワリ</t>
    </rPh>
    <rPh sb="7" eb="8">
      <t>ガク</t>
    </rPh>
    <phoneticPr fontId="1"/>
  </si>
  <si>
    <r>
      <t xml:space="preserve">本来の額
</t>
    </r>
    <r>
      <rPr>
        <sz val="8"/>
        <color theme="1"/>
        <rFont val="ＭＳ 明朝"/>
        <family val="1"/>
        <charset val="128"/>
      </rPr>
      <t>（軽減なし）</t>
    </r>
    <rPh sb="0" eb="2">
      <t>ホンライ</t>
    </rPh>
    <rPh sb="3" eb="4">
      <t>ガク</t>
    </rPh>
    <rPh sb="6" eb="8">
      <t>ケイゲン</t>
    </rPh>
    <phoneticPr fontId="1"/>
  </si>
  <si>
    <t>65歳到達者の誕生年の1/1　→</t>
    <phoneticPr fontId="1"/>
  </si>
  <si>
    <t>【軽減判定の基礎となる数値】</t>
    <rPh sb="1" eb="5">
      <t>ケイゲンハンテイ</t>
    </rPh>
    <rPh sb="6" eb="8">
      <t>キソ</t>
    </rPh>
    <rPh sb="11" eb="13">
      <t>スウチ</t>
    </rPh>
    <phoneticPr fontId="1"/>
  </si>
  <si>
    <t>擬主</t>
    <rPh sb="0" eb="2">
      <t>ギヌシ</t>
    </rPh>
    <phoneticPr fontId="1"/>
  </si>
  <si>
    <t>擬制世帯主</t>
    <rPh sb="0" eb="1">
      <t>ギ</t>
    </rPh>
    <rPh sb="2" eb="5">
      <t>セタイヌシ</t>
    </rPh>
    <phoneticPr fontId="1"/>
  </si>
  <si>
    <t>●
●
●</t>
    <phoneticPr fontId="1"/>
  </si>
  <si>
    <t>加入者毎の加入期間設定
年度途中の介護分賦課の切替（年度途中に40歳又は65歳になる方）
軽減判定の際の特定同一世帯所属者を含めた算定</t>
    <rPh sb="34" eb="35">
      <t>マタ</t>
    </rPh>
    <rPh sb="45" eb="47">
      <t>ケイゲン</t>
    </rPh>
    <rPh sb="47" eb="49">
      <t>ハンテイ</t>
    </rPh>
    <rPh sb="50" eb="51">
      <t>サイ</t>
    </rPh>
    <rPh sb="52" eb="56">
      <t>トクテイドウイツ</t>
    </rPh>
    <rPh sb="56" eb="58">
      <t>セタイ</t>
    </rPh>
    <rPh sb="58" eb="61">
      <t>ショゾクシャ</t>
    </rPh>
    <rPh sb="62" eb="63">
      <t>フク</t>
    </rPh>
    <rPh sb="65" eb="67">
      <t>サンテイ</t>
    </rPh>
    <phoneticPr fontId="1"/>
  </si>
  <si>
    <t>【軽減判定方法】</t>
    <rPh sb="1" eb="3">
      <t>ケイゲン</t>
    </rPh>
    <rPh sb="3" eb="7">
      <t>ハンテイホウホウ</t>
    </rPh>
    <phoneticPr fontId="1"/>
  </si>
  <si>
    <t>7割軽減</t>
    <rPh sb="1" eb="4">
      <t>ワリケイゲン</t>
    </rPh>
    <phoneticPr fontId="1"/>
  </si>
  <si>
    <t>5割軽減</t>
    <rPh sb="1" eb="2">
      <t>ワリ</t>
    </rPh>
    <rPh sb="2" eb="4">
      <t>ケイゲン</t>
    </rPh>
    <phoneticPr fontId="1"/>
  </si>
  <si>
    <t>2割軽減</t>
    <rPh sb="1" eb="2">
      <t>ワリ</t>
    </rPh>
    <rPh sb="2" eb="4">
      <t>ケイゲン</t>
    </rPh>
    <phoneticPr fontId="1"/>
  </si>
  <si>
    <t>×</t>
    <phoneticPr fontId="1"/>
  </si>
  <si>
    <t>（給与所得者等の数-1）</t>
    <rPh sb="1" eb="7">
      <t>キュウヨショトクシャトウ</t>
    </rPh>
    <rPh sb="8" eb="9">
      <t>カズ</t>
    </rPh>
    <phoneticPr fontId="1"/>
  </si>
  <si>
    <t>＋</t>
    <phoneticPr fontId="1"/>
  </si>
  <si>
    <t>（国保加入者数）</t>
  </si>
  <si>
    <t>（国保加入者数）</t>
    <rPh sb="1" eb="6">
      <t>コクホカニュウシャ</t>
    </rPh>
    <rPh sb="6" eb="7">
      <t>スウ</t>
    </rPh>
    <phoneticPr fontId="1"/>
  </si>
  <si>
    <t>当年度4/1が18歳の誕生日の者の生年月日</t>
    <rPh sb="0" eb="3">
      <t>トウネンド</t>
    </rPh>
    <rPh sb="9" eb="10">
      <t>サイ</t>
    </rPh>
    <rPh sb="11" eb="14">
      <t>タンジョウビ</t>
    </rPh>
    <rPh sb="15" eb="16">
      <t>モノ</t>
    </rPh>
    <rPh sb="17" eb="19">
      <t>セイネン</t>
    </rPh>
    <rPh sb="19" eb="21">
      <t>ガッピ</t>
    </rPh>
    <phoneticPr fontId="1"/>
  </si>
  <si>
    <t>←この日よりも後に生まれた人は、当該賦課年度において18歳未満。
※　この日生まれた子は、当該賦課年度において18歳以上でない。</t>
    <rPh sb="3" eb="4">
      <t>ヒ</t>
    </rPh>
    <rPh sb="7" eb="8">
      <t>アト</t>
    </rPh>
    <rPh sb="9" eb="10">
      <t>ウ</t>
    </rPh>
    <rPh sb="13" eb="14">
      <t>ヒト</t>
    </rPh>
    <rPh sb="16" eb="18">
      <t>トウガイ</t>
    </rPh>
    <rPh sb="18" eb="20">
      <t>フカ</t>
    </rPh>
    <rPh sb="20" eb="22">
      <t>ネンド</t>
    </rPh>
    <rPh sb="28" eb="29">
      <t>サイ</t>
    </rPh>
    <rPh sb="29" eb="31">
      <t>ミマン</t>
    </rPh>
    <rPh sb="57" eb="58">
      <t>サイ</t>
    </rPh>
    <rPh sb="58" eb="60">
      <t>イジョウ</t>
    </rPh>
    <phoneticPr fontId="1"/>
  </si>
  <si>
    <t>子子</t>
    <rPh sb="0" eb="1">
      <t>コ</t>
    </rPh>
    <rPh sb="1" eb="2">
      <t>コ</t>
    </rPh>
    <phoneticPr fontId="1"/>
  </si>
  <si>
    <t>小川町役場税務課：国民健康保険税担当</t>
    <rPh sb="0" eb="3">
      <t>オガワマチ</t>
    </rPh>
    <rPh sb="3" eb="5">
      <t>ヤクバ</t>
    </rPh>
    <rPh sb="5" eb="8">
      <t>ゼイムカ</t>
    </rPh>
    <rPh sb="9" eb="16">
      <t>コクミンケンコウホケンゼイ</t>
    </rPh>
    <rPh sb="16" eb="18">
      <t>タントウ</t>
    </rPh>
    <phoneticPr fontId="1"/>
  </si>
  <si>
    <t>TEL：0493-72-1221（内線：133）</t>
    <rPh sb="17" eb="19">
      <t>ナイセン</t>
    </rPh>
    <phoneticPr fontId="1"/>
  </si>
  <si>
    <t>【子ども分】
18歳以上</t>
    <rPh sb="1" eb="2">
      <t>コ</t>
    </rPh>
    <rPh sb="4" eb="5">
      <t>ブン</t>
    </rPh>
    <rPh sb="9" eb="10">
      <t>サイ</t>
    </rPh>
    <rPh sb="10" eb="12">
      <t>イジョウ</t>
    </rPh>
    <phoneticPr fontId="1"/>
  </si>
  <si>
    <t>子ども</t>
    <rPh sb="0" eb="1">
      <t>コ</t>
    </rPh>
    <phoneticPr fontId="1"/>
  </si>
  <si>
    <t>子ども分均等割負担</t>
    <rPh sb="0" eb="1">
      <t>コ</t>
    </rPh>
    <rPh sb="3" eb="4">
      <t>ブン</t>
    </rPh>
    <rPh sb="4" eb="7">
      <t>キントウワ</t>
    </rPh>
    <rPh sb="7" eb="9">
      <t>フタン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</si>
</sst>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0_ "/>
    <numFmt numFmtId="178" formatCode="#,##0.00_ "/>
    <numFmt numFmtId="179" formatCode="0.0%"/>
    <numFmt numFmtId="180" formatCode="0.000_ "/>
    <numFmt numFmtId="181" formatCode="0_ "/>
    <numFmt numFmtId="182" formatCode="0.0_ "/>
    <numFmt numFmtId="183" formatCode="#,##0_);[Red]\(#,##0\)"/>
  </numFmts>
  <fonts count="39">
    <font>
      <sz val="11"/>
      <color theme="1"/>
      <name val="ＭＳ Ｐゴシック"/>
      <family val="2"/>
      <charset val="128"/>
    </font>
    <font>
      <sz val="6"/>
      <name val="ＭＳ Ｐゴシック"/>
      <family val="2"/>
      <charset val="128"/>
    </font>
    <font>
      <sz val="11"/>
      <color theme="1"/>
      <name val="游ゴシック"/>
      <family val="2"/>
      <charset val="128"/>
      <scheme val="minor"/>
    </font>
    <font>
      <sz val="11"/>
      <color theme="1"/>
      <name val="ＭＳ Ｐゴシック"/>
      <family val="3"/>
      <charset val="128"/>
    </font>
    <font>
      <sz val="11"/>
      <color rgb="FF0000CC"/>
      <name val="ＭＳ Ｐゴシック"/>
      <family val="3"/>
      <charset val="128"/>
    </font>
    <font>
      <sz val="11"/>
      <color rgb="FF0000CC"/>
      <name val="ＭＳ Ｐゴシック"/>
      <family val="2"/>
      <charset val="128"/>
    </font>
    <font>
      <b/>
      <sz val="11"/>
      <color theme="1"/>
      <name val="ＭＳ Ｐゴシック"/>
      <family val="3"/>
      <charset val="128"/>
    </font>
    <font>
      <sz val="10"/>
      <color theme="1"/>
      <name val="ＭＳ Ｐゴシック"/>
      <family val="3"/>
      <charset val="128"/>
    </font>
    <font>
      <sz val="9"/>
      <color indexed="81"/>
      <name val="MS P ゴシック"/>
      <family val="3"/>
      <charset val="128"/>
    </font>
    <font>
      <b/>
      <sz val="14"/>
      <color theme="1"/>
      <name val="ＭＳ Ｐゴシック"/>
      <family val="3"/>
      <charset val="128"/>
    </font>
    <font>
      <b/>
      <sz val="11"/>
      <color rgb="FFFF0000"/>
      <name val="ＭＳ Ｐゴシック"/>
      <family val="3"/>
      <charset val="128"/>
    </font>
    <font>
      <b/>
      <sz val="11"/>
      <color rgb="FF0000CC"/>
      <name val="ＭＳ Ｐゴシック"/>
      <family val="3"/>
      <charset val="128"/>
    </font>
    <font>
      <b/>
      <sz val="12"/>
      <color theme="1"/>
      <name val="ＭＳ Ｐゴシック"/>
      <family val="3"/>
      <charset val="128"/>
    </font>
    <font>
      <sz val="11"/>
      <color theme="1"/>
      <name val="ＭＳ ゴシック"/>
      <family val="3"/>
      <charset val="128"/>
    </font>
    <font>
      <sz val="11"/>
      <color rgb="FF0000CC"/>
      <name val="ＭＳ ゴシック"/>
      <family val="3"/>
      <charset val="128"/>
    </font>
    <font>
      <sz val="12"/>
      <color theme="1"/>
      <name val="ＭＳ ゴシック"/>
      <family val="3"/>
      <charset val="128"/>
    </font>
    <font>
      <sz val="16"/>
      <color theme="1"/>
      <name val="ＭＳ ゴシック"/>
      <family val="3"/>
      <charset val="128"/>
    </font>
    <font>
      <b/>
      <sz val="12"/>
      <color rgb="FFFF0000"/>
      <name val="ＭＳ ゴシック"/>
      <family val="3"/>
      <charset val="128"/>
    </font>
    <font>
      <sz val="11"/>
      <color theme="2" tint="-0.249977111117893"/>
      <name val="ＭＳ ゴシック"/>
      <family val="3"/>
      <charset val="128"/>
    </font>
    <font>
      <b/>
      <u/>
      <sz val="11"/>
      <color rgb="FFFF0000"/>
      <name val="ＭＳ ゴシック"/>
      <family val="3"/>
      <charset val="128"/>
    </font>
    <font>
      <sz val="10"/>
      <color theme="1"/>
      <name val="ＭＳ 明朝"/>
      <family val="1"/>
      <charset val="128"/>
    </font>
    <font>
      <sz val="10"/>
      <color rgb="FF0000CC"/>
      <name val="ＭＳ 明朝"/>
      <family val="1"/>
      <charset val="128"/>
    </font>
    <font>
      <b/>
      <sz val="10"/>
      <color theme="1"/>
      <name val="ＭＳ 明朝"/>
      <family val="1"/>
      <charset val="128"/>
    </font>
    <font>
      <sz val="10"/>
      <color theme="1"/>
      <name val="ＭＳ ゴシック"/>
      <family val="3"/>
      <charset val="128"/>
    </font>
    <font>
      <sz val="11"/>
      <color theme="1"/>
      <name val="ＭＳ 明朝"/>
      <family val="1"/>
      <charset val="128"/>
    </font>
    <font>
      <u/>
      <sz val="11"/>
      <color theme="1"/>
      <name val="ＭＳ 明朝"/>
      <family val="1"/>
      <charset val="128"/>
    </font>
    <font>
      <sz val="9"/>
      <color theme="1"/>
      <name val="ＭＳ Ｐゴシック"/>
      <family val="2"/>
      <charset val="128"/>
    </font>
    <font>
      <sz val="9"/>
      <color theme="1"/>
      <name val="ＭＳ ゴシック"/>
      <family val="3"/>
      <charset val="128"/>
    </font>
    <font>
      <sz val="11"/>
      <color rgb="FFFF0000"/>
      <name val="ＭＳ ゴシック"/>
      <family val="3"/>
      <charset val="128"/>
    </font>
    <font>
      <sz val="9"/>
      <color theme="1"/>
      <name val="ＭＳ 明朝"/>
      <family val="1"/>
      <charset val="128"/>
    </font>
    <font>
      <sz val="9"/>
      <name val="ＭＳ ゴシック"/>
      <family val="3"/>
      <charset val="128"/>
    </font>
    <font>
      <sz val="8"/>
      <color theme="1"/>
      <name val="ＭＳ 明朝"/>
      <family val="1"/>
      <charset val="128"/>
    </font>
    <font>
      <b/>
      <sz val="9"/>
      <color indexed="81"/>
      <name val="MS P ゴシック"/>
      <family val="3"/>
      <charset val="128"/>
    </font>
    <font>
      <b/>
      <u/>
      <sz val="9"/>
      <color indexed="81"/>
      <name val="MS P ゴシック"/>
      <family val="3"/>
      <charset val="128"/>
    </font>
    <font>
      <sz val="12"/>
      <color theme="1"/>
      <name val="ＭＳ 明朝"/>
      <family val="1"/>
      <charset val="128"/>
    </font>
    <font>
      <sz val="10"/>
      <name val="ＭＳ 明朝"/>
      <family val="1"/>
      <charset val="128"/>
    </font>
    <font>
      <sz val="10"/>
      <color rgb="FFFF0000"/>
      <name val="ＭＳ 明朝"/>
      <family val="1"/>
      <charset val="128"/>
    </font>
    <font>
      <sz val="11"/>
      <color rgb="FFFF0000"/>
      <name val="ＭＳ 明朝"/>
      <family val="1"/>
      <charset val="128"/>
    </font>
    <font>
      <sz val="9"/>
      <color rgb="FF0000CC"/>
      <name val="ＭＳ 明朝"/>
      <family val="1"/>
      <charset val="128"/>
    </font>
  </fonts>
  <fills count="8">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2"/>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14999847407452621"/>
        <bgColor indexed="64"/>
      </patternFill>
    </fill>
  </fills>
  <borders count="69">
    <border>
      <left/>
      <right/>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hair">
        <color auto="1"/>
      </left>
      <right/>
      <top/>
      <bottom style="thin">
        <color auto="1"/>
      </bottom>
      <diagonal/>
    </border>
    <border>
      <left style="thin">
        <color auto="1"/>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bottom style="thin">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diagonalDown="1">
      <left style="thin">
        <color auto="1"/>
      </left>
      <right style="thin">
        <color auto="1"/>
      </right>
      <top style="thin">
        <color auto="1"/>
      </top>
      <bottom style="thin">
        <color auto="1"/>
      </bottom>
      <diagonal style="thin">
        <color auto="1"/>
      </diagonal>
    </border>
    <border>
      <left style="thin">
        <color auto="1"/>
      </left>
      <right style="medium">
        <color auto="1"/>
      </right>
      <top style="thin">
        <color auto="1"/>
      </top>
      <bottom style="thin">
        <color auto="1"/>
      </bottom>
      <diagonal/>
    </border>
    <border>
      <left style="thin">
        <color auto="1"/>
      </left>
      <right style="thin">
        <color auto="1"/>
      </right>
      <top/>
      <bottom/>
      <diagonal/>
    </border>
    <border>
      <left style="medium">
        <color auto="1"/>
      </left>
      <right/>
      <top style="medium">
        <color auto="1"/>
      </top>
      <bottom style="thin">
        <color auto="1"/>
      </bottom>
      <diagonal/>
    </border>
    <border diagonalDown="1">
      <left style="medium">
        <color auto="1"/>
      </left>
      <right/>
      <top style="thin">
        <color auto="1"/>
      </top>
      <bottom style="thin">
        <color auto="1"/>
      </bottom>
      <diagonal style="thin">
        <color auto="1"/>
      </diagonal>
    </border>
    <border diagonalDown="1">
      <left style="medium">
        <color auto="1"/>
      </left>
      <right/>
      <top style="thin">
        <color auto="1"/>
      </top>
      <bottom/>
      <diagonal style="thin">
        <color auto="1"/>
      </diagonal>
    </border>
    <border diagonalDown="1">
      <left style="thin">
        <color auto="1"/>
      </left>
      <right style="medium">
        <color auto="1"/>
      </right>
      <top style="thin">
        <color auto="1"/>
      </top>
      <bottom style="thin">
        <color auto="1"/>
      </bottom>
      <diagonal style="thin">
        <color auto="1"/>
      </diagonal>
    </border>
    <border diagonalDown="1">
      <left style="thin">
        <color auto="1"/>
      </left>
      <right style="thin">
        <color auto="1"/>
      </right>
      <top style="medium">
        <color auto="1"/>
      </top>
      <bottom style="thin">
        <color auto="1"/>
      </bottom>
      <diagonal style="thin">
        <color auto="1"/>
      </diagonal>
    </border>
    <border>
      <left style="thick">
        <color rgb="FFFF0000"/>
      </left>
      <right/>
      <top/>
      <bottom/>
      <diagonal/>
    </border>
    <border>
      <left style="thick">
        <color rgb="FFFF0000"/>
      </left>
      <right style="thin">
        <color auto="1"/>
      </right>
      <top style="thin">
        <color auto="1"/>
      </top>
      <bottom style="thin">
        <color auto="1"/>
      </bottom>
      <diagonal/>
    </border>
    <border diagonalDown="1">
      <left style="thick">
        <color rgb="FFFF0000"/>
      </left>
      <right style="thin">
        <color auto="1"/>
      </right>
      <top style="thin">
        <color auto="1"/>
      </top>
      <bottom style="thin">
        <color auto="1"/>
      </bottom>
      <diagonal style="thin">
        <color theme="1"/>
      </diagonal>
    </border>
    <border>
      <left/>
      <right/>
      <top/>
      <bottom style="thin">
        <color auto="1"/>
      </bottom>
      <diagonal/>
    </border>
    <border>
      <left/>
      <right style="thin">
        <color auto="1"/>
      </right>
      <top/>
      <bottom style="thin">
        <color auto="1"/>
      </bottom>
      <diagonal/>
    </border>
    <border>
      <left style="mediumDashDot">
        <color auto="1"/>
      </left>
      <right style="thin">
        <color auto="1"/>
      </right>
      <top style="mediumDashDot">
        <color auto="1"/>
      </top>
      <bottom style="thin">
        <color auto="1"/>
      </bottom>
      <diagonal/>
    </border>
    <border>
      <left style="thin">
        <color auto="1"/>
      </left>
      <right style="mediumDashDot">
        <color auto="1"/>
      </right>
      <top style="mediumDashDot">
        <color auto="1"/>
      </top>
      <bottom style="thin">
        <color auto="1"/>
      </bottom>
      <diagonal/>
    </border>
    <border>
      <left style="mediumDashDot">
        <color auto="1"/>
      </left>
      <right style="thin">
        <color auto="1"/>
      </right>
      <top style="thin">
        <color auto="1"/>
      </top>
      <bottom style="thin">
        <color auto="1"/>
      </bottom>
      <diagonal/>
    </border>
    <border>
      <left style="thin">
        <color auto="1"/>
      </left>
      <right style="mediumDashDot">
        <color auto="1"/>
      </right>
      <top style="thin">
        <color auto="1"/>
      </top>
      <bottom style="thin">
        <color auto="1"/>
      </bottom>
      <diagonal/>
    </border>
    <border>
      <left style="mediumDashDot">
        <color auto="1"/>
      </left>
      <right style="thin">
        <color auto="1"/>
      </right>
      <top style="thin">
        <color auto="1"/>
      </top>
      <bottom style="mediumDashDot">
        <color auto="1"/>
      </bottom>
      <diagonal/>
    </border>
    <border>
      <left style="thin">
        <color auto="1"/>
      </left>
      <right style="mediumDashDot">
        <color auto="1"/>
      </right>
      <top style="thin">
        <color auto="1"/>
      </top>
      <bottom style="mediumDashDot">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hair">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medium">
        <color auto="1"/>
      </left>
      <right/>
      <top/>
      <bottom/>
      <diagonal/>
    </border>
    <border>
      <left/>
      <right/>
      <top style="medium">
        <color auto="1"/>
      </top>
      <bottom/>
      <diagonal/>
    </border>
    <border>
      <left/>
      <right style="hair">
        <color auto="1"/>
      </right>
      <top style="thin">
        <color auto="1"/>
      </top>
      <bottom style="thin">
        <color auto="1"/>
      </bottom>
      <diagonal/>
    </border>
    <border>
      <left style="thin">
        <color auto="1"/>
      </left>
      <right/>
      <top style="medium">
        <color auto="1"/>
      </top>
      <bottom/>
      <diagonal/>
    </border>
    <border>
      <left/>
      <right style="medium">
        <color auto="1"/>
      </right>
      <top style="medium">
        <color auto="1"/>
      </top>
      <bottom/>
      <diagonal/>
    </border>
    <border diagonalUp="1">
      <left style="hair">
        <color auto="1"/>
      </left>
      <right style="hair">
        <color auto="1"/>
      </right>
      <top style="thin">
        <color auto="1"/>
      </top>
      <bottom style="thin">
        <color auto="1"/>
      </bottom>
      <diagonal style="hair">
        <color auto="1"/>
      </diagonal>
    </border>
    <border diagonalUp="1">
      <left style="hair">
        <color auto="1"/>
      </left>
      <right style="thin">
        <color auto="1"/>
      </right>
      <top style="thin">
        <color auto="1"/>
      </top>
      <bottom style="thin">
        <color auto="1"/>
      </bottom>
      <diagonal style="hair">
        <color auto="1"/>
      </diagonal>
    </border>
  </borders>
  <cellStyleXfs count="2">
    <xf numFmtId="0" fontId="0" fillId="0" borderId="0">
      <alignment vertical="center"/>
    </xf>
    <xf numFmtId="0" fontId="2" fillId="0" borderId="0">
      <alignment vertical="center"/>
    </xf>
  </cellStyleXfs>
  <cellXfs count="342">
    <xf numFmtId="0" fontId="0" fillId="0" borderId="0" xfId="0">
      <alignment vertical="center"/>
    </xf>
    <xf numFmtId="0" fontId="3" fillId="0" borderId="0" xfId="1" applyFont="1">
      <alignment vertical="center"/>
    </xf>
    <xf numFmtId="0" fontId="3" fillId="0" borderId="0" xfId="1" applyFont="1" applyAlignment="1">
      <alignment horizontal="center" vertical="center"/>
    </xf>
    <xf numFmtId="0" fontId="3" fillId="0" borderId="0" xfId="1" applyFont="1" applyAlignment="1">
      <alignment horizontal="right" vertical="center"/>
    </xf>
    <xf numFmtId="0" fontId="3" fillId="0" borderId="0" xfId="1" applyFont="1" applyFill="1" applyAlignment="1">
      <alignment horizontal="left" vertical="center"/>
    </xf>
    <xf numFmtId="177" fontId="3" fillId="0" borderId="4" xfId="1" applyNumberFormat="1" applyFont="1" applyFill="1" applyBorder="1" applyAlignment="1">
      <alignment horizontal="center" vertical="center"/>
    </xf>
    <xf numFmtId="176" fontId="3" fillId="0" borderId="4" xfId="1" applyNumberFormat="1" applyFont="1" applyFill="1" applyBorder="1" applyAlignment="1">
      <alignment horizontal="left" vertical="center"/>
    </xf>
    <xf numFmtId="177" fontId="3" fillId="2" borderId="4" xfId="1" applyNumberFormat="1" applyFont="1" applyFill="1" applyBorder="1">
      <alignment vertical="center"/>
    </xf>
    <xf numFmtId="177" fontId="3" fillId="2" borderId="4" xfId="1" applyNumberFormat="1" applyFont="1" applyFill="1" applyBorder="1" applyAlignment="1">
      <alignment horizontal="right" vertical="center"/>
    </xf>
    <xf numFmtId="176" fontId="3" fillId="2" borderId="5" xfId="1" applyNumberFormat="1" applyFont="1" applyFill="1" applyBorder="1">
      <alignment vertical="center"/>
    </xf>
    <xf numFmtId="176" fontId="4" fillId="0" borderId="6" xfId="1" applyNumberFormat="1" applyFont="1" applyFill="1" applyBorder="1">
      <alignment vertical="center"/>
    </xf>
    <xf numFmtId="176" fontId="3" fillId="2" borderId="6" xfId="1" applyNumberFormat="1" applyFont="1" applyFill="1" applyBorder="1">
      <alignment vertical="center"/>
    </xf>
    <xf numFmtId="176" fontId="3" fillId="0" borderId="5" xfId="1" applyNumberFormat="1" applyFont="1" applyFill="1" applyBorder="1" applyAlignment="1">
      <alignment horizontal="right" vertical="center"/>
    </xf>
    <xf numFmtId="176" fontId="3" fillId="5" borderId="4" xfId="1" applyNumberFormat="1" applyFont="1" applyFill="1" applyBorder="1" applyAlignment="1">
      <alignment horizontal="center" vertical="center"/>
    </xf>
    <xf numFmtId="176" fontId="4" fillId="5" borderId="6" xfId="1" applyNumberFormat="1" applyFont="1" applyFill="1" applyBorder="1">
      <alignment vertical="center"/>
    </xf>
    <xf numFmtId="176" fontId="4" fillId="5" borderId="5" xfId="1" applyNumberFormat="1" applyFont="1" applyFill="1" applyBorder="1" applyAlignment="1">
      <alignment horizontal="right" vertical="center"/>
    </xf>
    <xf numFmtId="176" fontId="4" fillId="5" borderId="4" xfId="1" applyNumberFormat="1" applyFont="1" applyFill="1" applyBorder="1" applyAlignment="1">
      <alignment horizontal="right" vertical="center"/>
    </xf>
    <xf numFmtId="177" fontId="3" fillId="5" borderId="4" xfId="1" applyNumberFormat="1" applyFont="1" applyFill="1" applyBorder="1" applyAlignment="1">
      <alignment horizontal="center" vertical="center"/>
    </xf>
    <xf numFmtId="177" fontId="3" fillId="5" borderId="4" xfId="1" applyNumberFormat="1" applyFont="1" applyFill="1" applyBorder="1">
      <alignment vertical="center"/>
    </xf>
    <xf numFmtId="178" fontId="3" fillId="2" borderId="4" xfId="1" applyNumberFormat="1" applyFont="1" applyFill="1" applyBorder="1" applyAlignment="1">
      <alignment horizontal="right" vertical="center"/>
    </xf>
    <xf numFmtId="176" fontId="3" fillId="2" borderId="4" xfId="1" applyNumberFormat="1" applyFont="1" applyFill="1" applyBorder="1">
      <alignment vertical="center"/>
    </xf>
    <xf numFmtId="176" fontId="4" fillId="0" borderId="9" xfId="1" applyNumberFormat="1" applyFont="1" applyBorder="1">
      <alignment vertical="center"/>
    </xf>
    <xf numFmtId="176" fontId="4" fillId="0" borderId="9" xfId="1" applyNumberFormat="1" applyFont="1" applyFill="1" applyBorder="1">
      <alignment vertical="center"/>
    </xf>
    <xf numFmtId="176" fontId="4" fillId="0" borderId="11" xfId="1" applyNumberFormat="1" applyFont="1" applyBorder="1">
      <alignment vertical="center"/>
    </xf>
    <xf numFmtId="176" fontId="3" fillId="0" borderId="4" xfId="1" applyNumberFormat="1" applyFont="1" applyFill="1" applyBorder="1" applyAlignment="1">
      <alignment horizontal="center" vertical="center"/>
    </xf>
    <xf numFmtId="176" fontId="4" fillId="0" borderId="5" xfId="1" applyNumberFormat="1" applyFont="1" applyFill="1" applyBorder="1" applyAlignment="1">
      <alignment horizontal="right" vertical="center"/>
    </xf>
    <xf numFmtId="176" fontId="4" fillId="0" borderId="4" xfId="1" applyNumberFormat="1" applyFont="1" applyFill="1" applyBorder="1" applyAlignment="1">
      <alignment horizontal="right" vertical="center"/>
    </xf>
    <xf numFmtId="176" fontId="4" fillId="0" borderId="4" xfId="1" applyNumberFormat="1" applyFont="1" applyFill="1" applyBorder="1" applyAlignment="1">
      <alignment horizontal="left" vertical="center"/>
    </xf>
    <xf numFmtId="176" fontId="3" fillId="0" borderId="4" xfId="1" applyNumberFormat="1" applyFont="1" applyFill="1" applyBorder="1">
      <alignment vertical="center"/>
    </xf>
    <xf numFmtId="177" fontId="3" fillId="0" borderId="4" xfId="1" applyNumberFormat="1" applyFont="1" applyFill="1" applyBorder="1">
      <alignment vertical="center"/>
    </xf>
    <xf numFmtId="176" fontId="4" fillId="0" borderId="19" xfId="1" applyNumberFormat="1" applyFont="1" applyFill="1" applyBorder="1">
      <alignment vertical="center"/>
    </xf>
    <xf numFmtId="176" fontId="4" fillId="3" borderId="19" xfId="1" applyNumberFormat="1" applyFont="1" applyFill="1" applyBorder="1">
      <alignment vertical="center"/>
    </xf>
    <xf numFmtId="0" fontId="6" fillId="4" borderId="11" xfId="1" applyFont="1" applyFill="1" applyBorder="1" applyAlignment="1">
      <alignment horizontal="center" vertical="center"/>
    </xf>
    <xf numFmtId="0" fontId="3" fillId="0" borderId="0" xfId="1" applyFont="1" applyFill="1" applyBorder="1" applyAlignment="1">
      <alignment vertical="center"/>
    </xf>
    <xf numFmtId="0" fontId="6" fillId="4" borderId="10" xfId="1" applyFont="1" applyFill="1" applyBorder="1" applyAlignment="1">
      <alignment horizontal="center" vertical="center"/>
    </xf>
    <xf numFmtId="176" fontId="4" fillId="0" borderId="5" xfId="1" applyNumberFormat="1" applyFont="1" applyFill="1" applyBorder="1">
      <alignment vertical="center"/>
    </xf>
    <xf numFmtId="176" fontId="4" fillId="3" borderId="17" xfId="1" applyNumberFormat="1" applyFont="1" applyFill="1" applyBorder="1">
      <alignment vertical="center"/>
    </xf>
    <xf numFmtId="176" fontId="4" fillId="3" borderId="20" xfId="1" applyNumberFormat="1" applyFont="1" applyFill="1" applyBorder="1">
      <alignment vertical="center"/>
    </xf>
    <xf numFmtId="176" fontId="4" fillId="3" borderId="7" xfId="1" applyNumberFormat="1" applyFont="1" applyFill="1" applyBorder="1">
      <alignment vertical="center"/>
    </xf>
    <xf numFmtId="176" fontId="4" fillId="3" borderId="8" xfId="1" applyNumberFormat="1" applyFont="1" applyFill="1" applyBorder="1">
      <alignment vertical="center"/>
    </xf>
    <xf numFmtId="176" fontId="3" fillId="2" borderId="6" xfId="1" applyNumberFormat="1" applyFont="1" applyFill="1" applyBorder="1" applyAlignment="1">
      <alignment horizontal="right" vertical="center"/>
    </xf>
    <xf numFmtId="0" fontId="3" fillId="4" borderId="23" xfId="1" applyFont="1" applyFill="1" applyBorder="1" applyAlignment="1">
      <alignment horizontal="center" vertical="center"/>
    </xf>
    <xf numFmtId="0" fontId="3" fillId="4" borderId="17" xfId="1" applyFont="1" applyFill="1" applyBorder="1" applyAlignment="1">
      <alignment horizontal="center" vertical="center"/>
    </xf>
    <xf numFmtId="180" fontId="0" fillId="0" borderId="0" xfId="0" applyNumberFormat="1">
      <alignment vertical="center"/>
    </xf>
    <xf numFmtId="177" fontId="5" fillId="0" borderId="0" xfId="0" applyNumberFormat="1" applyFont="1">
      <alignment vertical="center"/>
    </xf>
    <xf numFmtId="0" fontId="3" fillId="0" borderId="0" xfId="1" applyFont="1" applyAlignment="1">
      <alignment horizontal="center" vertical="center"/>
    </xf>
    <xf numFmtId="0" fontId="3" fillId="4" borderId="9" xfId="1" applyFont="1" applyFill="1" applyBorder="1" applyAlignment="1">
      <alignment horizontal="center" vertical="center"/>
    </xf>
    <xf numFmtId="14" fontId="3" fillId="0" borderId="0" xfId="1" applyNumberFormat="1" applyFont="1" applyAlignment="1">
      <alignment vertical="center"/>
    </xf>
    <xf numFmtId="0" fontId="3" fillId="0" borderId="0" xfId="1" applyFont="1" applyAlignment="1">
      <alignment vertical="center"/>
    </xf>
    <xf numFmtId="176" fontId="5" fillId="0" borderId="9" xfId="0" applyNumberFormat="1" applyFont="1" applyBorder="1">
      <alignment vertical="center"/>
    </xf>
    <xf numFmtId="176" fontId="4" fillId="0" borderId="24" xfId="1" applyNumberFormat="1" applyFont="1" applyFill="1" applyBorder="1">
      <alignment vertical="center"/>
    </xf>
    <xf numFmtId="176" fontId="4" fillId="0" borderId="25" xfId="1" applyNumberFormat="1" applyFont="1" applyFill="1" applyBorder="1">
      <alignment vertical="center"/>
    </xf>
    <xf numFmtId="176" fontId="4" fillId="3" borderId="24" xfId="1" applyNumberFormat="1" applyFont="1" applyFill="1" applyBorder="1">
      <alignment vertical="center"/>
    </xf>
    <xf numFmtId="176" fontId="4" fillId="3" borderId="25" xfId="1" applyNumberFormat="1" applyFont="1" applyFill="1" applyBorder="1">
      <alignment vertical="center"/>
    </xf>
    <xf numFmtId="176" fontId="4" fillId="0" borderId="16" xfId="1" applyNumberFormat="1" applyFont="1" applyFill="1" applyBorder="1">
      <alignment vertical="center"/>
    </xf>
    <xf numFmtId="176" fontId="4" fillId="0" borderId="16" xfId="1" applyNumberFormat="1" applyFont="1" applyBorder="1">
      <alignment vertical="center"/>
    </xf>
    <xf numFmtId="14" fontId="5" fillId="0" borderId="9" xfId="0" applyNumberFormat="1" applyFont="1" applyBorder="1" applyAlignment="1">
      <alignment horizontal="center" vertical="center"/>
    </xf>
    <xf numFmtId="177" fontId="5" fillId="0" borderId="9" xfId="0" applyNumberFormat="1" applyFont="1" applyBorder="1">
      <alignment vertical="center"/>
    </xf>
    <xf numFmtId="181" fontId="5" fillId="0" borderId="9" xfId="0" applyNumberFormat="1" applyFont="1" applyBorder="1">
      <alignment vertical="center"/>
    </xf>
    <xf numFmtId="0" fontId="0" fillId="4" borderId="9" xfId="0" applyFill="1" applyBorder="1">
      <alignment vertical="center"/>
    </xf>
    <xf numFmtId="0" fontId="0" fillId="4" borderId="9" xfId="0" applyFill="1" applyBorder="1" applyAlignment="1">
      <alignment horizontal="center" vertical="center"/>
    </xf>
    <xf numFmtId="0" fontId="0" fillId="4" borderId="9" xfId="0" applyFill="1" applyBorder="1" applyAlignment="1">
      <alignment horizontal="center" vertical="center" wrapText="1"/>
    </xf>
    <xf numFmtId="0" fontId="0" fillId="4" borderId="5" xfId="0" applyFill="1" applyBorder="1" applyAlignment="1">
      <alignment horizontal="center" vertical="center" wrapText="1"/>
    </xf>
    <xf numFmtId="177" fontId="5" fillId="0" borderId="5" xfId="0" applyNumberFormat="1" applyFont="1" applyBorder="1">
      <alignment vertical="center"/>
    </xf>
    <xf numFmtId="0" fontId="0" fillId="4" borderId="29" xfId="0" applyFill="1" applyBorder="1" applyAlignment="1">
      <alignment horizontal="center" vertical="center" wrapText="1"/>
    </xf>
    <xf numFmtId="176" fontId="5" fillId="3" borderId="31" xfId="0" applyNumberFormat="1" applyFont="1" applyFill="1" applyBorder="1">
      <alignment vertical="center"/>
    </xf>
    <xf numFmtId="14" fontId="5" fillId="6" borderId="9" xfId="0" applyNumberFormat="1" applyFont="1" applyFill="1" applyBorder="1" applyAlignment="1">
      <alignment horizontal="center" vertical="center"/>
    </xf>
    <xf numFmtId="176" fontId="5" fillId="6" borderId="9" xfId="0" applyNumberFormat="1" applyFont="1" applyFill="1" applyBorder="1">
      <alignment vertical="center"/>
    </xf>
    <xf numFmtId="181" fontId="5" fillId="6" borderId="9" xfId="0" applyNumberFormat="1" applyFont="1" applyFill="1" applyBorder="1">
      <alignment vertical="center"/>
    </xf>
    <xf numFmtId="0" fontId="0" fillId="0" borderId="32" xfId="0" applyFill="1" applyBorder="1">
      <alignment vertical="center"/>
    </xf>
    <xf numFmtId="176" fontId="5" fillId="0" borderId="32" xfId="0" applyNumberFormat="1" applyFont="1" applyFill="1" applyBorder="1">
      <alignment vertical="center"/>
    </xf>
    <xf numFmtId="177" fontId="5" fillId="0" borderId="9" xfId="0" applyNumberFormat="1" applyFont="1" applyFill="1" applyBorder="1">
      <alignment vertical="center"/>
    </xf>
    <xf numFmtId="0" fontId="6" fillId="4" borderId="9" xfId="0" applyFont="1" applyFill="1" applyBorder="1" applyAlignment="1">
      <alignment horizontal="center" vertical="center"/>
    </xf>
    <xf numFmtId="0" fontId="0" fillId="0" borderId="0" xfId="0" applyFill="1">
      <alignment vertical="center"/>
    </xf>
    <xf numFmtId="176" fontId="5" fillId="3" borderId="30" xfId="0" applyNumberFormat="1" applyFont="1" applyFill="1" applyBorder="1">
      <alignment vertical="center"/>
    </xf>
    <xf numFmtId="0" fontId="0" fillId="4" borderId="9" xfId="0" applyFill="1" applyBorder="1" applyAlignment="1">
      <alignment horizontal="center" vertical="center"/>
    </xf>
    <xf numFmtId="176" fontId="5" fillId="0" borderId="34" xfId="0" applyNumberFormat="1" applyFont="1" applyFill="1" applyBorder="1">
      <alignment vertical="center"/>
    </xf>
    <xf numFmtId="176" fontId="5" fillId="0" borderId="29" xfId="0" applyNumberFormat="1" applyFont="1" applyFill="1" applyBorder="1">
      <alignment vertical="center"/>
    </xf>
    <xf numFmtId="0" fontId="0" fillId="4" borderId="31" xfId="0" applyFill="1" applyBorder="1" applyAlignment="1">
      <alignment vertical="center" shrinkToFit="1"/>
    </xf>
    <xf numFmtId="176" fontId="5" fillId="0" borderId="5" xfId="0" applyNumberFormat="1" applyFont="1" applyFill="1" applyBorder="1">
      <alignment vertical="center"/>
    </xf>
    <xf numFmtId="0" fontId="0" fillId="4" borderId="35" xfId="0" applyFill="1" applyBorder="1" applyAlignment="1">
      <alignment horizontal="center" vertical="center" wrapText="1"/>
    </xf>
    <xf numFmtId="0" fontId="0" fillId="0" borderId="36" xfId="0" applyFill="1" applyBorder="1">
      <alignment vertical="center"/>
    </xf>
    <xf numFmtId="0" fontId="0" fillId="0" borderId="37" xfId="0" applyFill="1" applyBorder="1">
      <alignment vertical="center"/>
    </xf>
    <xf numFmtId="176" fontId="5" fillId="3" borderId="17" xfId="0" applyNumberFormat="1" applyFont="1" applyFill="1" applyBorder="1">
      <alignment vertical="center"/>
    </xf>
    <xf numFmtId="176" fontId="5" fillId="0" borderId="9" xfId="0" applyNumberFormat="1" applyFont="1" applyFill="1" applyBorder="1">
      <alignment vertical="center"/>
    </xf>
    <xf numFmtId="177" fontId="5" fillId="0" borderId="38" xfId="0" applyNumberFormat="1" applyFont="1" applyFill="1" applyBorder="1">
      <alignment vertical="center"/>
    </xf>
    <xf numFmtId="176" fontId="5" fillId="0" borderId="39" xfId="0" applyNumberFormat="1" applyFont="1" applyFill="1" applyBorder="1">
      <alignment vertical="center"/>
    </xf>
    <xf numFmtId="0" fontId="0" fillId="4" borderId="32" xfId="0" applyFill="1" applyBorder="1" applyAlignment="1">
      <alignment horizontal="center" vertical="center" wrapText="1"/>
    </xf>
    <xf numFmtId="176" fontId="5" fillId="0" borderId="32" xfId="0" applyNumberFormat="1" applyFont="1" applyBorder="1">
      <alignment vertical="center"/>
    </xf>
    <xf numFmtId="0" fontId="0" fillId="4" borderId="9" xfId="0" applyFill="1" applyBorder="1" applyAlignment="1">
      <alignment horizontal="center" vertical="center"/>
    </xf>
    <xf numFmtId="176" fontId="5" fillId="0" borderId="33" xfId="0" applyNumberFormat="1" applyFont="1" applyFill="1" applyBorder="1">
      <alignment vertical="center"/>
    </xf>
    <xf numFmtId="0" fontId="0" fillId="0" borderId="40" xfId="0" applyBorder="1">
      <alignment vertical="center"/>
    </xf>
    <xf numFmtId="0" fontId="10" fillId="0" borderId="40" xfId="0" applyFont="1" applyBorder="1">
      <alignment vertical="center"/>
    </xf>
    <xf numFmtId="0" fontId="0" fillId="4" borderId="41" xfId="0" applyFill="1" applyBorder="1" applyAlignment="1">
      <alignment horizontal="center" vertical="center" wrapText="1"/>
    </xf>
    <xf numFmtId="176" fontId="5" fillId="0" borderId="41" xfId="0" applyNumberFormat="1" applyFont="1" applyFill="1" applyBorder="1">
      <alignment vertical="center"/>
    </xf>
    <xf numFmtId="176" fontId="5" fillId="0" borderId="42" xfId="0" applyNumberFormat="1" applyFont="1" applyFill="1" applyBorder="1">
      <alignment vertical="center"/>
    </xf>
    <xf numFmtId="0" fontId="0" fillId="0" borderId="43" xfId="0" applyBorder="1">
      <alignment vertical="center"/>
    </xf>
    <xf numFmtId="0" fontId="0" fillId="0" borderId="44" xfId="0" applyBorder="1">
      <alignment vertical="center"/>
    </xf>
    <xf numFmtId="0" fontId="6" fillId="0" borderId="23" xfId="0" applyFont="1" applyBorder="1" applyAlignment="1">
      <alignment horizontal="left" vertical="center" indent="2"/>
    </xf>
    <xf numFmtId="0" fontId="6" fillId="0" borderId="23" xfId="0" applyFont="1" applyFill="1" applyBorder="1" applyAlignment="1">
      <alignment horizontal="left" vertical="center" indent="2"/>
    </xf>
    <xf numFmtId="0" fontId="12" fillId="0" borderId="0" xfId="0" applyFont="1">
      <alignment vertical="center"/>
    </xf>
    <xf numFmtId="179" fontId="0" fillId="2" borderId="9" xfId="0" applyNumberFormat="1" applyFill="1" applyBorder="1">
      <alignment vertical="center"/>
    </xf>
    <xf numFmtId="176" fontId="0" fillId="2" borderId="9" xfId="0" applyNumberFormat="1" applyFill="1" applyBorder="1">
      <alignment vertical="center"/>
    </xf>
    <xf numFmtId="182" fontId="3" fillId="0" borderId="48" xfId="0" applyNumberFormat="1" applyFont="1" applyBorder="1" applyAlignment="1">
      <alignment horizontal="center" vertical="center"/>
    </xf>
    <xf numFmtId="0" fontId="3" fillId="0" borderId="47" xfId="0" applyFont="1" applyBorder="1" applyAlignment="1">
      <alignment horizontal="center" vertical="center"/>
    </xf>
    <xf numFmtId="0" fontId="3" fillId="0" borderId="49" xfId="0" applyFont="1" applyBorder="1" applyAlignment="1">
      <alignment horizontal="center" vertical="center"/>
    </xf>
    <xf numFmtId="182" fontId="3" fillId="0" borderId="50" xfId="0" applyNumberFormat="1" applyFont="1" applyBorder="1" applyAlignment="1">
      <alignment horizontal="center" vertical="center"/>
    </xf>
    <xf numFmtId="0" fontId="13" fillId="0" borderId="0" xfId="0" applyFont="1">
      <alignment vertical="center"/>
    </xf>
    <xf numFmtId="0" fontId="13" fillId="0" borderId="0" xfId="0" applyFont="1" applyAlignment="1">
      <alignment vertical="center" wrapText="1"/>
    </xf>
    <xf numFmtId="0" fontId="13" fillId="0" borderId="0" xfId="0" applyFont="1" applyAlignment="1">
      <alignment horizontal="center" vertical="center"/>
    </xf>
    <xf numFmtId="0" fontId="15" fillId="0" borderId="0" xfId="0" applyFont="1">
      <alignment vertical="center"/>
    </xf>
    <xf numFmtId="176" fontId="14" fillId="0" borderId="0" xfId="0" applyNumberFormat="1" applyFont="1" applyFill="1" applyBorder="1">
      <alignment vertical="center"/>
    </xf>
    <xf numFmtId="0" fontId="17" fillId="0" borderId="0" xfId="0" applyFont="1">
      <alignment vertical="center"/>
    </xf>
    <xf numFmtId="181" fontId="18" fillId="0" borderId="0" xfId="0" applyNumberFormat="1" applyFont="1">
      <alignment vertical="center"/>
    </xf>
    <xf numFmtId="176" fontId="14" fillId="0" borderId="0" xfId="0" applyNumberFormat="1" applyFont="1" applyFill="1" applyBorder="1" applyAlignment="1">
      <alignment horizontal="right" vertical="center"/>
    </xf>
    <xf numFmtId="0" fontId="13" fillId="0" borderId="0" xfId="0" applyFont="1" applyFill="1" applyBorder="1" applyAlignment="1">
      <alignment horizontal="center" vertical="center"/>
    </xf>
    <xf numFmtId="0" fontId="17" fillId="0" borderId="0" xfId="0" applyFont="1" applyAlignment="1">
      <alignment horizontal="right" vertical="center"/>
    </xf>
    <xf numFmtId="0" fontId="19" fillId="0" borderId="0" xfId="0" applyFont="1">
      <alignment vertical="center"/>
    </xf>
    <xf numFmtId="0" fontId="20" fillId="0" borderId="0" xfId="0" applyFont="1">
      <alignment vertical="center"/>
    </xf>
    <xf numFmtId="0" fontId="20" fillId="0" borderId="0" xfId="0" applyFont="1" applyAlignment="1">
      <alignment horizontal="right" vertical="center"/>
    </xf>
    <xf numFmtId="0" fontId="20" fillId="2" borderId="9" xfId="0" applyFont="1" applyFill="1" applyBorder="1" applyAlignment="1">
      <alignment horizontal="center" vertical="center"/>
    </xf>
    <xf numFmtId="0" fontId="20" fillId="0" borderId="0" xfId="0" applyFont="1" applyAlignment="1">
      <alignment horizontal="left" vertical="center"/>
    </xf>
    <xf numFmtId="0" fontId="15" fillId="0" borderId="57" xfId="0" applyFont="1" applyBorder="1">
      <alignment vertical="center"/>
    </xf>
    <xf numFmtId="0" fontId="13" fillId="0" borderId="58" xfId="0" applyFont="1" applyBorder="1">
      <alignment vertical="center"/>
    </xf>
    <xf numFmtId="0" fontId="13" fillId="0" borderId="59" xfId="0" applyFont="1" applyBorder="1">
      <alignment vertical="center"/>
    </xf>
    <xf numFmtId="0" fontId="20" fillId="0" borderId="60" xfId="0" applyFont="1" applyBorder="1">
      <alignment vertical="center"/>
    </xf>
    <xf numFmtId="0" fontId="20" fillId="0" borderId="0" xfId="0" applyFont="1" applyBorder="1">
      <alignment vertical="center"/>
    </xf>
    <xf numFmtId="0" fontId="20" fillId="0" borderId="61" xfId="0" applyFont="1" applyBorder="1">
      <alignment vertical="center"/>
    </xf>
    <xf numFmtId="0" fontId="23" fillId="0" borderId="60" xfId="0" applyFont="1" applyBorder="1">
      <alignment vertical="center"/>
    </xf>
    <xf numFmtId="0" fontId="23" fillId="0" borderId="0" xfId="0" applyFont="1" applyBorder="1">
      <alignment vertical="center"/>
    </xf>
    <xf numFmtId="0" fontId="23" fillId="0" borderId="61" xfId="0" applyFont="1" applyBorder="1">
      <alignment vertical="center"/>
    </xf>
    <xf numFmtId="0" fontId="24" fillId="0" borderId="60" xfId="0" applyFont="1" applyBorder="1">
      <alignment vertical="center"/>
    </xf>
    <xf numFmtId="0" fontId="13" fillId="0" borderId="60" xfId="0" applyFont="1" applyBorder="1">
      <alignment vertical="center"/>
    </xf>
    <xf numFmtId="0" fontId="13" fillId="0" borderId="0" xfId="0" applyFont="1" applyBorder="1">
      <alignment vertical="center"/>
    </xf>
    <xf numFmtId="0" fontId="13" fillId="0" borderId="61" xfId="0" applyFont="1" applyBorder="1">
      <alignment vertical="center"/>
    </xf>
    <xf numFmtId="0" fontId="13" fillId="0" borderId="23" xfId="0" applyFont="1" applyBorder="1">
      <alignment vertical="center"/>
    </xf>
    <xf numFmtId="0" fontId="13" fillId="0" borderId="43" xfId="0" applyFont="1" applyBorder="1">
      <alignment vertical="center"/>
    </xf>
    <xf numFmtId="0" fontId="13" fillId="0" borderId="44" xfId="0" applyFont="1" applyBorder="1">
      <alignment vertical="center"/>
    </xf>
    <xf numFmtId="0" fontId="24" fillId="0" borderId="60" xfId="0" applyFont="1" applyBorder="1" applyAlignment="1">
      <alignment horizontal="center" vertical="top"/>
    </xf>
    <xf numFmtId="0" fontId="20" fillId="0" borderId="43" xfId="0" applyFont="1" applyBorder="1" applyAlignment="1">
      <alignment vertical="center"/>
    </xf>
    <xf numFmtId="176" fontId="18" fillId="0" borderId="0" xfId="0" applyNumberFormat="1" applyFont="1" applyFill="1">
      <alignment vertical="center"/>
    </xf>
    <xf numFmtId="176" fontId="5" fillId="3" borderId="9" xfId="0" applyNumberFormat="1" applyFont="1" applyFill="1" applyBorder="1">
      <alignment vertical="center"/>
    </xf>
    <xf numFmtId="176" fontId="0" fillId="3" borderId="9" xfId="0" applyNumberFormat="1" applyFill="1" applyBorder="1">
      <alignment vertical="center"/>
    </xf>
    <xf numFmtId="0" fontId="26" fillId="4" borderId="9" xfId="0" applyFont="1" applyFill="1" applyBorder="1" applyAlignment="1">
      <alignment horizontal="center" vertical="center" wrapText="1"/>
    </xf>
    <xf numFmtId="177" fontId="5" fillId="0" borderId="32" xfId="0" applyNumberFormat="1" applyFont="1" applyFill="1" applyBorder="1">
      <alignment vertical="center"/>
    </xf>
    <xf numFmtId="181" fontId="5" fillId="2" borderId="9" xfId="0" applyNumberFormat="1" applyFont="1" applyFill="1" applyBorder="1">
      <alignment vertical="center"/>
    </xf>
    <xf numFmtId="0" fontId="20" fillId="0" borderId="0" xfId="0" applyFont="1" applyAlignment="1">
      <alignment horizontal="right" vertical="center"/>
    </xf>
    <xf numFmtId="0" fontId="20" fillId="0" borderId="0" xfId="0" applyFont="1" applyAlignment="1">
      <alignment horizontal="left" vertical="center"/>
    </xf>
    <xf numFmtId="0" fontId="16" fillId="0" borderId="0" xfId="0" applyFont="1" applyAlignment="1">
      <alignment horizontal="center" vertical="center"/>
    </xf>
    <xf numFmtId="0" fontId="20" fillId="0" borderId="0" xfId="0" applyFont="1" applyBorder="1" applyAlignment="1">
      <alignment horizontal="left" vertical="top" wrapText="1"/>
    </xf>
    <xf numFmtId="0" fontId="25" fillId="0" borderId="0" xfId="0" applyFont="1" applyBorder="1" applyAlignment="1">
      <alignment horizontal="left" vertical="top" wrapText="1"/>
    </xf>
    <xf numFmtId="0" fontId="20" fillId="0" borderId="0" xfId="0" applyFont="1" applyAlignment="1"/>
    <xf numFmtId="179" fontId="21" fillId="0" borderId="0" xfId="0" applyNumberFormat="1" applyFont="1" applyFill="1" applyBorder="1" applyAlignment="1">
      <alignment horizontal="right" vertical="center"/>
    </xf>
    <xf numFmtId="176" fontId="21" fillId="0" borderId="0" xfId="0" applyNumberFormat="1" applyFont="1" applyFill="1" applyBorder="1" applyAlignment="1">
      <alignment horizontal="right" vertical="center"/>
    </xf>
    <xf numFmtId="0" fontId="20" fillId="0" borderId="0" xfId="0" applyFont="1" applyFill="1" applyBorder="1" applyAlignment="1">
      <alignment horizontal="center" vertical="center"/>
    </xf>
    <xf numFmtId="0" fontId="13" fillId="0" borderId="0" xfId="0" applyFont="1" applyFill="1" applyBorder="1">
      <alignment vertical="center"/>
    </xf>
    <xf numFmtId="0" fontId="20" fillId="0" borderId="0" xfId="0" applyFont="1" applyFill="1" applyBorder="1">
      <alignment vertical="center"/>
    </xf>
    <xf numFmtId="0" fontId="20" fillId="0" borderId="0" xfId="0" applyFont="1" applyFill="1" applyBorder="1" applyAlignment="1">
      <alignment vertical="center"/>
    </xf>
    <xf numFmtId="0" fontId="21" fillId="0" borderId="0" xfId="0" applyFont="1" applyFill="1" applyBorder="1" applyAlignment="1">
      <alignment horizontal="center" vertical="center"/>
    </xf>
    <xf numFmtId="0" fontId="20" fillId="0" borderId="0" xfId="0" applyFont="1" applyFill="1" applyBorder="1" applyAlignment="1">
      <alignment horizontal="left" vertical="center"/>
    </xf>
    <xf numFmtId="176" fontId="21" fillId="0" borderId="0" xfId="0" applyNumberFormat="1" applyFont="1" applyFill="1" applyBorder="1" applyAlignment="1">
      <alignment vertical="center"/>
    </xf>
    <xf numFmtId="0" fontId="3" fillId="0" borderId="6" xfId="0" applyFont="1" applyFill="1" applyBorder="1" applyAlignment="1">
      <alignment horizontal="center" vertical="center"/>
    </xf>
    <xf numFmtId="0" fontId="20" fillId="0" borderId="0" xfId="0" applyFont="1" applyAlignment="1">
      <alignment vertical="center"/>
    </xf>
    <xf numFmtId="14" fontId="4" fillId="0" borderId="22" xfId="1" applyNumberFormat="1" applyFont="1" applyFill="1" applyBorder="1" applyAlignment="1">
      <alignment horizontal="center" vertical="center"/>
    </xf>
    <xf numFmtId="14" fontId="4" fillId="0" borderId="65" xfId="1" applyNumberFormat="1" applyFont="1" applyFill="1" applyBorder="1" applyAlignment="1">
      <alignment horizontal="center" vertical="center"/>
    </xf>
    <xf numFmtId="14" fontId="4" fillId="0" borderId="66" xfId="1" applyNumberFormat="1" applyFont="1" applyFill="1" applyBorder="1" applyAlignment="1">
      <alignment horizontal="center" vertical="center"/>
    </xf>
    <xf numFmtId="0" fontId="20" fillId="0" borderId="0" xfId="0" applyFont="1" applyFill="1" applyBorder="1" applyAlignment="1">
      <alignment vertical="center" wrapText="1"/>
    </xf>
    <xf numFmtId="0" fontId="34" fillId="0" borderId="0" xfId="0" applyFont="1" applyFill="1" applyBorder="1" applyAlignment="1">
      <alignment vertical="center"/>
    </xf>
    <xf numFmtId="176" fontId="35" fillId="0" borderId="4" xfId="0" applyNumberFormat="1" applyFont="1" applyFill="1" applyBorder="1" applyAlignment="1">
      <alignment vertical="center"/>
    </xf>
    <xf numFmtId="176" fontId="35" fillId="0" borderId="4" xfId="0" applyNumberFormat="1" applyFont="1" applyFill="1" applyBorder="1" applyAlignment="1">
      <alignment vertical="center" shrinkToFit="1"/>
    </xf>
    <xf numFmtId="0" fontId="13" fillId="0" borderId="4" xfId="0" applyFont="1" applyFill="1" applyBorder="1">
      <alignment vertical="center"/>
    </xf>
    <xf numFmtId="0" fontId="13" fillId="0" borderId="6" xfId="0" applyFont="1" applyFill="1" applyBorder="1">
      <alignment vertical="center"/>
    </xf>
    <xf numFmtId="176" fontId="35" fillId="0" borderId="4" xfId="0" applyNumberFormat="1" applyFont="1" applyFill="1" applyBorder="1" applyAlignment="1">
      <alignment horizontal="center" vertical="center" shrinkToFit="1"/>
    </xf>
    <xf numFmtId="176" fontId="35" fillId="0" borderId="43" xfId="0" applyNumberFormat="1" applyFont="1" applyFill="1" applyBorder="1" applyAlignment="1">
      <alignment vertical="center"/>
    </xf>
    <xf numFmtId="176" fontId="35" fillId="0" borderId="43" xfId="0" applyNumberFormat="1" applyFont="1" applyFill="1" applyBorder="1" applyAlignment="1">
      <alignment vertical="center" shrinkToFit="1"/>
    </xf>
    <xf numFmtId="176" fontId="35" fillId="0" borderId="43" xfId="0" applyNumberFormat="1" applyFont="1" applyFill="1" applyBorder="1" applyAlignment="1">
      <alignment horizontal="center" vertical="center" shrinkToFit="1"/>
    </xf>
    <xf numFmtId="176" fontId="28" fillId="0" borderId="6" xfId="0" applyNumberFormat="1" applyFont="1" applyBorder="1" applyAlignment="1">
      <alignment vertical="center" shrinkToFit="1"/>
    </xf>
    <xf numFmtId="176" fontId="28" fillId="0" borderId="44" xfId="0" applyNumberFormat="1" applyFont="1" applyBorder="1" applyAlignment="1">
      <alignment vertical="center" shrinkToFit="1"/>
    </xf>
    <xf numFmtId="176" fontId="36" fillId="0" borderId="4" xfId="0" applyNumberFormat="1" applyFont="1" applyFill="1" applyBorder="1" applyAlignment="1">
      <alignment vertical="center"/>
    </xf>
    <xf numFmtId="176" fontId="36" fillId="0" borderId="43" xfId="0" applyNumberFormat="1" applyFont="1" applyFill="1" applyBorder="1" applyAlignment="1">
      <alignment vertical="center"/>
    </xf>
    <xf numFmtId="176" fontId="37" fillId="0" borderId="5" xfId="0" applyNumberFormat="1" applyFont="1" applyFill="1" applyBorder="1" applyAlignment="1">
      <alignment vertical="center" shrinkToFit="1"/>
    </xf>
    <xf numFmtId="176" fontId="37" fillId="0" borderId="23" xfId="0" applyNumberFormat="1" applyFont="1" applyFill="1" applyBorder="1" applyAlignment="1">
      <alignment vertical="center" shrinkToFit="1"/>
    </xf>
    <xf numFmtId="0" fontId="21" fillId="0" borderId="0" xfId="0" applyFont="1" applyAlignment="1" applyProtection="1">
      <alignment horizontal="center" vertical="center"/>
      <protection hidden="1"/>
    </xf>
    <xf numFmtId="0" fontId="6" fillId="4" borderId="9" xfId="0" applyFont="1" applyFill="1" applyBorder="1" applyAlignment="1">
      <alignment horizontal="center" vertical="center"/>
    </xf>
    <xf numFmtId="0" fontId="0" fillId="0" borderId="0" xfId="0" applyFill="1" applyBorder="1" applyAlignment="1">
      <alignment vertical="center" shrinkToFit="1"/>
    </xf>
    <xf numFmtId="176" fontId="5" fillId="0" borderId="0" xfId="0" applyNumberFormat="1" applyFont="1" applyFill="1" applyBorder="1">
      <alignment vertical="center"/>
    </xf>
    <xf numFmtId="176" fontId="3" fillId="2" borderId="4" xfId="1" applyNumberFormat="1" applyFont="1" applyFill="1" applyBorder="1" applyAlignment="1">
      <alignment horizontal="right" vertical="center"/>
    </xf>
    <xf numFmtId="0" fontId="13" fillId="0" borderId="0" xfId="0" applyFont="1" applyBorder="1" applyAlignment="1">
      <alignment horizontal="center" vertical="center"/>
    </xf>
    <xf numFmtId="176" fontId="21" fillId="0" borderId="53" xfId="0" applyNumberFormat="1" applyFont="1" applyBorder="1" applyAlignment="1" applyProtection="1">
      <alignment horizontal="right" vertical="center"/>
      <protection hidden="1"/>
    </xf>
    <xf numFmtId="176" fontId="21" fillId="0" borderId="55" xfId="0" applyNumberFormat="1" applyFont="1" applyBorder="1" applyAlignment="1" applyProtection="1">
      <alignment horizontal="right" vertical="center"/>
      <protection hidden="1"/>
    </xf>
    <xf numFmtId="0" fontId="21" fillId="0" borderId="62" xfId="0" applyFont="1" applyBorder="1" applyAlignment="1" applyProtection="1">
      <alignment horizontal="center" vertical="center"/>
      <protection hidden="1"/>
    </xf>
    <xf numFmtId="0" fontId="21" fillId="0" borderId="0" xfId="0" applyFont="1" applyBorder="1" applyAlignment="1" applyProtection="1">
      <alignment horizontal="center" vertical="center"/>
      <protection hidden="1"/>
    </xf>
    <xf numFmtId="0" fontId="20" fillId="4" borderId="1" xfId="0" applyFont="1" applyFill="1" applyBorder="1" applyAlignment="1">
      <alignment horizontal="center" vertical="center"/>
    </xf>
    <xf numFmtId="0" fontId="20" fillId="4" borderId="2" xfId="0" applyFont="1" applyFill="1" applyBorder="1" applyAlignment="1">
      <alignment horizontal="center" vertical="center"/>
    </xf>
    <xf numFmtId="0" fontId="20" fillId="4" borderId="51" xfId="0" applyFont="1" applyFill="1" applyBorder="1" applyAlignment="1">
      <alignment horizontal="center" vertical="center"/>
    </xf>
    <xf numFmtId="0" fontId="20" fillId="4" borderId="52" xfId="0" applyFont="1" applyFill="1" applyBorder="1" applyAlignment="1">
      <alignment horizontal="center" vertical="center"/>
    </xf>
    <xf numFmtId="0" fontId="20" fillId="4" borderId="2" xfId="0" applyFont="1" applyFill="1" applyBorder="1" applyAlignment="1">
      <alignment horizontal="center" vertical="center" wrapText="1"/>
    </xf>
    <xf numFmtId="176" fontId="21" fillId="0" borderId="2" xfId="0" applyNumberFormat="1" applyFont="1" applyBorder="1" applyAlignment="1" applyProtection="1">
      <alignment horizontal="right" vertical="center"/>
      <protection hidden="1"/>
    </xf>
    <xf numFmtId="0" fontId="20" fillId="4" borderId="1" xfId="0" applyFont="1" applyFill="1" applyBorder="1" applyAlignment="1">
      <alignment horizontal="center" vertical="center" wrapText="1"/>
    </xf>
    <xf numFmtId="0" fontId="20" fillId="0" borderId="2" xfId="0" applyFont="1" applyBorder="1" applyAlignment="1">
      <alignment horizontal="right" vertical="center"/>
    </xf>
    <xf numFmtId="0" fontId="20" fillId="0" borderId="56" xfId="0" applyFont="1" applyBorder="1" applyAlignment="1">
      <alignment horizontal="right" vertical="center"/>
    </xf>
    <xf numFmtId="176" fontId="21" fillId="0" borderId="54" xfId="0" applyNumberFormat="1" applyFont="1" applyBorder="1" applyAlignment="1" applyProtection="1">
      <alignment horizontal="right" vertical="center"/>
      <protection hidden="1"/>
    </xf>
    <xf numFmtId="0" fontId="22" fillId="4" borderId="53" xfId="0" applyFont="1" applyFill="1" applyBorder="1" applyAlignment="1">
      <alignment horizontal="center" vertical="center"/>
    </xf>
    <xf numFmtId="0" fontId="22" fillId="4" borderId="54" xfId="0" applyFont="1" applyFill="1" applyBorder="1" applyAlignment="1">
      <alignment horizontal="center" vertical="center"/>
    </xf>
    <xf numFmtId="0" fontId="13" fillId="0" borderId="63" xfId="0" applyFont="1" applyBorder="1" applyAlignment="1" applyProtection="1">
      <alignment horizontal="center" vertical="center"/>
      <protection hidden="1"/>
    </xf>
    <xf numFmtId="0" fontId="23" fillId="0" borderId="63" xfId="0" applyFont="1" applyBorder="1" applyAlignment="1">
      <alignment horizontal="center" vertical="center"/>
    </xf>
    <xf numFmtId="176" fontId="21" fillId="0" borderId="2" xfId="0" applyNumberFormat="1" applyFont="1" applyFill="1" applyBorder="1" applyAlignment="1" applyProtection="1">
      <alignment horizontal="right" vertical="center"/>
      <protection hidden="1"/>
    </xf>
    <xf numFmtId="14" fontId="20" fillId="2" borderId="2" xfId="0" applyNumberFormat="1" applyFont="1" applyFill="1" applyBorder="1" applyAlignment="1" applyProtection="1">
      <alignment horizontal="center" vertical="center"/>
      <protection locked="0"/>
    </xf>
    <xf numFmtId="176" fontId="21" fillId="0" borderId="52" xfId="0" applyNumberFormat="1" applyFont="1" applyBorder="1" applyAlignment="1" applyProtection="1">
      <alignment horizontal="right" vertical="center"/>
      <protection hidden="1"/>
    </xf>
    <xf numFmtId="0" fontId="20" fillId="4" borderId="56" xfId="0" applyFont="1" applyFill="1" applyBorder="1" applyAlignment="1">
      <alignment horizontal="center" vertical="center"/>
    </xf>
    <xf numFmtId="0" fontId="20" fillId="4" borderId="6" xfId="0" applyFont="1" applyFill="1" applyBorder="1" applyAlignment="1">
      <alignment horizontal="center" vertical="center"/>
    </xf>
    <xf numFmtId="176" fontId="21" fillId="0" borderId="3" xfId="0" applyNumberFormat="1" applyFont="1" applyFill="1" applyBorder="1" applyAlignment="1" applyProtection="1">
      <alignment horizontal="right" vertical="center"/>
      <protection hidden="1"/>
    </xf>
    <xf numFmtId="179" fontId="21" fillId="0" borderId="2" xfId="0" applyNumberFormat="1" applyFont="1" applyFill="1" applyBorder="1" applyAlignment="1" applyProtection="1">
      <alignment horizontal="right" vertical="center"/>
      <protection hidden="1"/>
    </xf>
    <xf numFmtId="179" fontId="21" fillId="0" borderId="3" xfId="0" applyNumberFormat="1" applyFont="1" applyFill="1" applyBorder="1" applyAlignment="1" applyProtection="1">
      <alignment horizontal="right" vertical="center"/>
      <protection hidden="1"/>
    </xf>
    <xf numFmtId="176" fontId="20" fillId="2" borderId="2" xfId="0" applyNumberFormat="1" applyFont="1" applyFill="1" applyBorder="1" applyAlignment="1" applyProtection="1">
      <alignment horizontal="right" vertical="center"/>
      <protection locked="0"/>
    </xf>
    <xf numFmtId="176" fontId="21" fillId="0" borderId="2" xfId="0" applyNumberFormat="1" applyFont="1" applyBorder="1" applyAlignment="1" applyProtection="1">
      <alignment vertical="center"/>
      <protection hidden="1"/>
    </xf>
    <xf numFmtId="14" fontId="20" fillId="2" borderId="2" xfId="0" applyNumberFormat="1" applyFont="1" applyFill="1" applyBorder="1" applyAlignment="1" applyProtection="1">
      <alignment horizontal="center" vertical="center" shrinkToFit="1"/>
      <protection locked="0"/>
    </xf>
    <xf numFmtId="0" fontId="21" fillId="0" borderId="0" xfId="0" applyFont="1" applyAlignment="1">
      <alignment horizontal="left" vertical="center"/>
    </xf>
    <xf numFmtId="0" fontId="20" fillId="0" borderId="0" xfId="0" applyFont="1" applyAlignment="1">
      <alignment horizontal="left" vertical="center"/>
    </xf>
    <xf numFmtId="0" fontId="13" fillId="2" borderId="17" xfId="0" applyFont="1" applyFill="1" applyBorder="1" applyAlignment="1">
      <alignment horizontal="center" vertical="center"/>
    </xf>
    <xf numFmtId="0" fontId="13" fillId="2" borderId="25" xfId="0" applyFont="1" applyFill="1" applyBorder="1" applyAlignment="1">
      <alignment horizontal="center" vertical="center"/>
    </xf>
    <xf numFmtId="0" fontId="20" fillId="0" borderId="0" xfId="0" applyFont="1" applyAlignment="1">
      <alignment horizontal="right" vertical="center"/>
    </xf>
    <xf numFmtId="0" fontId="16" fillId="0" borderId="0" xfId="0" applyFont="1" applyAlignment="1">
      <alignment horizontal="left" vertical="center"/>
    </xf>
    <xf numFmtId="0" fontId="20" fillId="0" borderId="5" xfId="0" applyFont="1" applyFill="1" applyBorder="1" applyAlignment="1">
      <alignment horizontal="center" vertical="center"/>
    </xf>
    <xf numFmtId="0" fontId="20" fillId="0" borderId="6" xfId="0" applyFont="1" applyFill="1" applyBorder="1" applyAlignment="1">
      <alignment horizontal="center" vertical="center"/>
    </xf>
    <xf numFmtId="176" fontId="21" fillId="0" borderId="3" xfId="0" applyNumberFormat="1" applyFont="1" applyBorder="1" applyAlignment="1" applyProtection="1">
      <alignment horizontal="right" vertical="center"/>
      <protection hidden="1"/>
    </xf>
    <xf numFmtId="0" fontId="20" fillId="4" borderId="3" xfId="0" applyFont="1" applyFill="1" applyBorder="1" applyAlignment="1">
      <alignment horizontal="center" vertical="center" wrapText="1"/>
    </xf>
    <xf numFmtId="0" fontId="22" fillId="4" borderId="1" xfId="0" applyFont="1" applyFill="1" applyBorder="1" applyAlignment="1">
      <alignment horizontal="center" vertical="center"/>
    </xf>
    <xf numFmtId="0" fontId="22" fillId="4" borderId="2" xfId="0" applyFont="1" applyFill="1" applyBorder="1" applyAlignment="1">
      <alignment horizontal="center" vertical="center"/>
    </xf>
    <xf numFmtId="0" fontId="20" fillId="0" borderId="0" xfId="0" applyFont="1" applyAlignment="1">
      <alignment horizontal="center"/>
    </xf>
    <xf numFmtId="0" fontId="25" fillId="0" borderId="0" xfId="0" applyFont="1" applyBorder="1" applyAlignment="1">
      <alignment horizontal="left" vertical="top" wrapText="1"/>
    </xf>
    <xf numFmtId="0" fontId="25" fillId="0" borderId="61" xfId="0" applyFont="1" applyBorder="1" applyAlignment="1">
      <alignment horizontal="left" vertical="top" wrapText="1"/>
    </xf>
    <xf numFmtId="0" fontId="20" fillId="0" borderId="60" xfId="0" applyFont="1" applyBorder="1" applyAlignment="1">
      <alignment horizontal="left" vertical="top" wrapText="1"/>
    </xf>
    <xf numFmtId="0" fontId="20" fillId="0" borderId="0" xfId="0" applyFont="1" applyBorder="1" applyAlignment="1">
      <alignment horizontal="left" vertical="top" wrapText="1"/>
    </xf>
    <xf numFmtId="0" fontId="20" fillId="0" borderId="61" xfId="0" applyFont="1" applyBorder="1" applyAlignment="1">
      <alignment horizontal="left" vertical="top" wrapText="1"/>
    </xf>
    <xf numFmtId="0" fontId="20" fillId="2" borderId="5" xfId="0" applyFont="1" applyFill="1" applyBorder="1" applyAlignment="1" applyProtection="1">
      <alignment horizontal="center" vertical="center"/>
      <protection locked="0"/>
    </xf>
    <xf numFmtId="0" fontId="20" fillId="2" borderId="6" xfId="0" applyFont="1" applyFill="1" applyBorder="1" applyAlignment="1" applyProtection="1">
      <alignment horizontal="center" vertical="center"/>
      <protection locked="0"/>
    </xf>
    <xf numFmtId="0" fontId="20" fillId="0" borderId="0" xfId="0" applyFont="1" applyAlignment="1">
      <alignment horizontal="left"/>
    </xf>
    <xf numFmtId="176" fontId="21" fillId="0" borderId="6" xfId="0" applyNumberFormat="1" applyFont="1" applyBorder="1" applyAlignment="1" applyProtection="1">
      <alignment horizontal="right" vertical="center"/>
      <protection hidden="1"/>
    </xf>
    <xf numFmtId="0" fontId="20" fillId="4" borderId="3" xfId="0" applyFont="1" applyFill="1" applyBorder="1" applyAlignment="1">
      <alignment horizontal="center" vertical="center"/>
    </xf>
    <xf numFmtId="176" fontId="21" fillId="0" borderId="67" xfId="0" applyNumberFormat="1" applyFont="1" applyBorder="1" applyAlignment="1" applyProtection="1">
      <alignment horizontal="right" vertical="center"/>
      <protection hidden="1"/>
    </xf>
    <xf numFmtId="176" fontId="21" fillId="0" borderId="68" xfId="0" applyNumberFormat="1" applyFont="1" applyBorder="1" applyAlignment="1" applyProtection="1">
      <alignment horizontal="right" vertical="center"/>
      <protection hidden="1"/>
    </xf>
    <xf numFmtId="0" fontId="29" fillId="4" borderId="1" xfId="0" applyFont="1" applyFill="1" applyBorder="1" applyAlignment="1">
      <alignment horizontal="center" vertical="center" wrapText="1"/>
    </xf>
    <xf numFmtId="0" fontId="29" fillId="4" borderId="2" xfId="0" applyFont="1" applyFill="1" applyBorder="1" applyAlignment="1">
      <alignment horizontal="center" vertical="center" wrapText="1"/>
    </xf>
    <xf numFmtId="0" fontId="20" fillId="0" borderId="60" xfId="0" applyFont="1" applyBorder="1" applyAlignment="1">
      <alignment horizontal="right" vertical="top" wrapText="1"/>
    </xf>
    <xf numFmtId="0" fontId="20" fillId="0" borderId="60" xfId="0" applyFont="1" applyBorder="1" applyAlignment="1">
      <alignment horizontal="right" vertical="top"/>
    </xf>
    <xf numFmtId="176" fontId="21" fillId="0" borderId="56" xfId="0" applyNumberFormat="1" applyFont="1" applyBorder="1" applyAlignment="1">
      <alignment vertical="center"/>
    </xf>
    <xf numFmtId="176" fontId="21" fillId="0" borderId="64" xfId="0" applyNumberFormat="1" applyFont="1" applyBorder="1" applyAlignment="1">
      <alignment vertical="center"/>
    </xf>
    <xf numFmtId="176" fontId="21" fillId="0" borderId="2" xfId="0" applyNumberFormat="1" applyFont="1" applyBorder="1" applyAlignment="1">
      <alignment horizontal="right" vertical="center"/>
    </xf>
    <xf numFmtId="176" fontId="20" fillId="0" borderId="2" xfId="0" applyNumberFormat="1" applyFont="1" applyFill="1" applyBorder="1" applyAlignment="1">
      <alignment horizontal="right" vertical="center"/>
    </xf>
    <xf numFmtId="176" fontId="21" fillId="0" borderId="3" xfId="0" applyNumberFormat="1" applyFont="1" applyBorder="1" applyAlignment="1">
      <alignment horizontal="right" vertical="center"/>
    </xf>
    <xf numFmtId="176" fontId="21" fillId="0" borderId="2" xfId="0" applyNumberFormat="1" applyFont="1" applyFill="1" applyBorder="1" applyAlignment="1">
      <alignment horizontal="right" vertical="center"/>
    </xf>
    <xf numFmtId="176" fontId="30" fillId="7" borderId="9" xfId="0" applyNumberFormat="1" applyFont="1" applyFill="1" applyBorder="1" applyAlignment="1">
      <alignment horizontal="center" vertical="center"/>
    </xf>
    <xf numFmtId="0" fontId="30" fillId="7" borderId="9" xfId="0" applyFont="1" applyFill="1" applyBorder="1" applyAlignment="1">
      <alignment horizontal="center" vertical="center"/>
    </xf>
    <xf numFmtId="176" fontId="28" fillId="0" borderId="9" xfId="0" applyNumberFormat="1" applyFont="1" applyBorder="1" applyAlignment="1">
      <alignment horizontal="center" vertical="center"/>
    </xf>
    <xf numFmtId="0" fontId="28" fillId="0" borderId="9" xfId="0" applyFont="1" applyBorder="1" applyAlignment="1">
      <alignment horizontal="center" vertical="center"/>
    </xf>
    <xf numFmtId="14" fontId="20" fillId="0" borderId="2" xfId="0" applyNumberFormat="1" applyFont="1" applyFill="1" applyBorder="1" applyAlignment="1">
      <alignment horizontal="center" vertical="center" shrinkToFit="1"/>
    </xf>
    <xf numFmtId="176" fontId="21" fillId="0" borderId="2" xfId="0" applyNumberFormat="1" applyFont="1" applyBorder="1" applyAlignment="1">
      <alignment vertical="center"/>
    </xf>
    <xf numFmtId="0" fontId="13" fillId="0" borderId="9" xfId="0" applyFont="1" applyBorder="1" applyAlignment="1">
      <alignment horizontal="center" vertical="center"/>
    </xf>
    <xf numFmtId="0" fontId="13" fillId="7" borderId="9" xfId="0" applyFont="1" applyFill="1" applyBorder="1" applyAlignment="1">
      <alignment horizontal="center" vertical="center"/>
    </xf>
    <xf numFmtId="0" fontId="27" fillId="7" borderId="5" xfId="0" applyFont="1" applyFill="1" applyBorder="1" applyAlignment="1">
      <alignment horizontal="center" vertical="center"/>
    </xf>
    <xf numFmtId="0" fontId="27" fillId="7" borderId="6" xfId="0" applyFont="1" applyFill="1" applyBorder="1" applyAlignment="1">
      <alignment horizontal="center" vertical="center"/>
    </xf>
    <xf numFmtId="0" fontId="38" fillId="0" borderId="0" xfId="0" applyFont="1" applyAlignment="1">
      <alignment horizontal="left" vertical="center"/>
    </xf>
    <xf numFmtId="0" fontId="16" fillId="0" borderId="0" xfId="0" applyFont="1" applyAlignment="1">
      <alignment horizontal="center" vertical="center"/>
    </xf>
    <xf numFmtId="0" fontId="20" fillId="4" borderId="56" xfId="0" applyFont="1" applyFill="1" applyBorder="1" applyAlignment="1">
      <alignment horizontal="center" vertical="center" wrapText="1"/>
    </xf>
    <xf numFmtId="0" fontId="20" fillId="4" borderId="64" xfId="0" applyFont="1" applyFill="1" applyBorder="1" applyAlignment="1">
      <alignment horizontal="center" vertical="center" wrapText="1"/>
    </xf>
    <xf numFmtId="0" fontId="13" fillId="0" borderId="0" xfId="0" applyFont="1" applyFill="1" applyBorder="1" applyAlignment="1">
      <alignment horizontal="center" vertical="center"/>
    </xf>
    <xf numFmtId="0" fontId="7" fillId="4" borderId="5" xfId="1" applyFont="1" applyFill="1" applyBorder="1" applyAlignment="1">
      <alignment horizontal="center" vertical="center"/>
    </xf>
    <xf numFmtId="0" fontId="7" fillId="4" borderId="4" xfId="1" applyFont="1" applyFill="1" applyBorder="1" applyAlignment="1">
      <alignment horizontal="center" vertical="center"/>
    </xf>
    <xf numFmtId="0" fontId="7" fillId="4" borderId="6" xfId="1" applyFont="1" applyFill="1" applyBorder="1" applyAlignment="1">
      <alignment horizontal="center" vertical="center"/>
    </xf>
    <xf numFmtId="0" fontId="20" fillId="0" borderId="0" xfId="0" applyFont="1" applyFill="1" applyBorder="1" applyAlignment="1">
      <alignment horizontal="center" vertical="center"/>
    </xf>
    <xf numFmtId="183" fontId="21" fillId="0" borderId="2" xfId="0" applyNumberFormat="1" applyFont="1" applyFill="1" applyBorder="1" applyAlignment="1">
      <alignment horizontal="right" vertical="center"/>
    </xf>
    <xf numFmtId="183" fontId="21" fillId="0" borderId="3" xfId="0" applyNumberFormat="1" applyFont="1" applyFill="1" applyBorder="1" applyAlignment="1">
      <alignment horizontal="right" vertical="center"/>
    </xf>
    <xf numFmtId="0" fontId="24" fillId="4" borderId="1" xfId="0" applyFont="1" applyFill="1" applyBorder="1" applyAlignment="1">
      <alignment horizontal="center" vertical="center"/>
    </xf>
    <xf numFmtId="0" fontId="24" fillId="4" borderId="56" xfId="0" applyFont="1" applyFill="1" applyBorder="1" applyAlignment="1">
      <alignment horizontal="center" vertical="center"/>
    </xf>
    <xf numFmtId="0" fontId="20" fillId="0" borderId="0" xfId="0" applyFont="1" applyFill="1" applyBorder="1" applyAlignment="1">
      <alignment horizontal="right" vertical="center"/>
    </xf>
    <xf numFmtId="176" fontId="21" fillId="0" borderId="0" xfId="0" applyNumberFormat="1" applyFont="1" applyFill="1" applyBorder="1" applyAlignment="1">
      <alignment horizontal="right" vertical="center"/>
    </xf>
    <xf numFmtId="0" fontId="21" fillId="0" borderId="0" xfId="0" applyFont="1" applyFill="1" applyBorder="1" applyAlignment="1">
      <alignment horizontal="center" vertical="center"/>
    </xf>
    <xf numFmtId="14" fontId="4" fillId="0" borderId="19" xfId="1" applyNumberFormat="1" applyFont="1" applyFill="1" applyBorder="1" applyAlignment="1">
      <alignment horizontal="center" vertical="center"/>
    </xf>
    <xf numFmtId="0" fontId="4" fillId="0" borderId="19" xfId="1" applyFont="1" applyFill="1" applyBorder="1" applyAlignment="1">
      <alignment horizontal="center" vertical="center"/>
    </xf>
    <xf numFmtId="0" fontId="4" fillId="0" borderId="8" xfId="1" applyFont="1" applyFill="1" applyBorder="1" applyAlignment="1">
      <alignment horizontal="center" vertical="center"/>
    </xf>
    <xf numFmtId="0" fontId="23" fillId="0" borderId="0" xfId="0" applyFont="1" applyFill="1" applyBorder="1" applyAlignment="1">
      <alignment horizontal="center" vertical="center"/>
    </xf>
    <xf numFmtId="0" fontId="29" fillId="4" borderId="56" xfId="0" applyFont="1" applyFill="1" applyBorder="1" applyAlignment="1">
      <alignment horizontal="center" vertical="center" wrapText="1"/>
    </xf>
    <xf numFmtId="0" fontId="29" fillId="4" borderId="64" xfId="0" applyFont="1" applyFill="1" applyBorder="1" applyAlignment="1">
      <alignment horizontal="center" vertical="center" wrapText="1"/>
    </xf>
    <xf numFmtId="179" fontId="0" fillId="4" borderId="5" xfId="0" applyNumberFormat="1" applyFill="1" applyBorder="1" applyAlignment="1">
      <alignment horizontal="left" vertical="center" wrapText="1"/>
    </xf>
    <xf numFmtId="179" fontId="0" fillId="4" borderId="4" xfId="0" applyNumberFormat="1" applyFill="1" applyBorder="1" applyAlignment="1">
      <alignment horizontal="left" vertical="center" wrapText="1"/>
    </xf>
    <xf numFmtId="0" fontId="0" fillId="4" borderId="5" xfId="0" applyFill="1" applyBorder="1" applyAlignment="1">
      <alignment horizontal="left" vertical="center" wrapText="1"/>
    </xf>
    <xf numFmtId="0" fontId="0" fillId="4" borderId="4" xfId="0" applyFill="1" applyBorder="1" applyAlignment="1">
      <alignment horizontal="left" vertical="center" wrapText="1"/>
    </xf>
    <xf numFmtId="0" fontId="0" fillId="4" borderId="6" xfId="0" applyFill="1" applyBorder="1" applyAlignment="1">
      <alignment horizontal="left" vertical="center" wrapText="1"/>
    </xf>
    <xf numFmtId="14" fontId="11" fillId="0" borderId="23" xfId="0" applyNumberFormat="1" applyFont="1" applyBorder="1" applyAlignment="1">
      <alignment horizontal="center" vertical="center"/>
    </xf>
    <xf numFmtId="14" fontId="11" fillId="0" borderId="44" xfId="0" applyNumberFormat="1" applyFont="1" applyBorder="1" applyAlignment="1">
      <alignment horizontal="center" vertical="center"/>
    </xf>
    <xf numFmtId="0" fontId="9" fillId="4" borderId="9" xfId="0" applyFont="1" applyFill="1" applyBorder="1" applyAlignment="1">
      <alignment horizontal="center" vertical="center" textRotation="255"/>
    </xf>
    <xf numFmtId="0" fontId="6" fillId="4" borderId="5"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6" xfId="0" applyFont="1" applyFill="1" applyBorder="1" applyAlignment="1">
      <alignment horizontal="center" vertical="center"/>
    </xf>
    <xf numFmtId="14" fontId="11" fillId="0" borderId="23" xfId="0" applyNumberFormat="1" applyFont="1" applyFill="1" applyBorder="1" applyAlignment="1">
      <alignment horizontal="center" vertical="center"/>
    </xf>
    <xf numFmtId="14" fontId="11" fillId="0" borderId="44" xfId="0" applyNumberFormat="1" applyFont="1" applyFill="1" applyBorder="1" applyAlignment="1">
      <alignment horizontal="center" vertical="center"/>
    </xf>
    <xf numFmtId="0" fontId="0" fillId="4" borderId="45" xfId="0" applyFill="1" applyBorder="1" applyAlignment="1">
      <alignment horizontal="center" vertical="center"/>
    </xf>
    <xf numFmtId="0" fontId="0" fillId="4" borderId="46" xfId="0" applyFill="1" applyBorder="1" applyAlignment="1">
      <alignment horizontal="center" vertical="center"/>
    </xf>
    <xf numFmtId="0" fontId="6" fillId="4" borderId="9" xfId="0" applyFont="1" applyFill="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182" fontId="5" fillId="0" borderId="5" xfId="0" applyNumberFormat="1" applyFont="1" applyBorder="1" applyAlignment="1">
      <alignment horizontal="center" vertical="center"/>
    </xf>
    <xf numFmtId="182" fontId="5" fillId="0" borderId="4" xfId="0" applyNumberFormat="1" applyFont="1" applyBorder="1" applyAlignment="1">
      <alignment horizontal="center" vertical="center"/>
    </xf>
    <xf numFmtId="179" fontId="0" fillId="4" borderId="5" xfId="0" applyNumberFormat="1" applyFill="1" applyBorder="1" applyAlignment="1">
      <alignment horizontal="left" vertical="center"/>
    </xf>
    <xf numFmtId="179" fontId="0" fillId="4" borderId="4" xfId="0" applyNumberFormat="1" applyFill="1" applyBorder="1" applyAlignment="1">
      <alignment horizontal="left" vertical="center"/>
    </xf>
    <xf numFmtId="0" fontId="3" fillId="4" borderId="1" xfId="1" applyFont="1" applyFill="1" applyBorder="1" applyAlignment="1">
      <alignment horizontal="center" vertical="center"/>
    </xf>
    <xf numFmtId="0" fontId="3" fillId="4" borderId="2" xfId="1" applyFont="1" applyFill="1" applyBorder="1" applyAlignment="1">
      <alignment horizontal="center" vertical="center"/>
    </xf>
    <xf numFmtId="0" fontId="3" fillId="4" borderId="3" xfId="1" applyFont="1" applyFill="1" applyBorder="1" applyAlignment="1">
      <alignment horizontal="center" vertical="center"/>
    </xf>
    <xf numFmtId="0" fontId="3" fillId="4" borderId="13" xfId="1" applyFont="1" applyFill="1" applyBorder="1" applyAlignment="1">
      <alignment horizontal="center" vertical="center"/>
    </xf>
    <xf numFmtId="0" fontId="3" fillId="4" borderId="14" xfId="1" applyFont="1" applyFill="1" applyBorder="1" applyAlignment="1">
      <alignment horizontal="center" vertical="center"/>
    </xf>
    <xf numFmtId="0" fontId="3" fillId="4" borderId="17" xfId="1" applyFont="1" applyFill="1" applyBorder="1" applyAlignment="1">
      <alignment horizontal="right" vertical="center" indent="1"/>
    </xf>
    <xf numFmtId="0" fontId="3" fillId="4" borderId="18" xfId="1" applyFont="1" applyFill="1" applyBorder="1" applyAlignment="1">
      <alignment horizontal="right" vertical="center" indent="1"/>
    </xf>
    <xf numFmtId="0" fontId="3" fillId="4" borderId="20" xfId="1" applyFont="1" applyFill="1" applyBorder="1" applyAlignment="1">
      <alignment horizontal="right" vertical="center" indent="1"/>
    </xf>
    <xf numFmtId="0" fontId="4" fillId="0" borderId="9" xfId="1" applyFont="1" applyBorder="1" applyAlignment="1">
      <alignment horizontal="center" vertical="center"/>
    </xf>
    <xf numFmtId="0" fontId="3" fillId="4" borderId="26" xfId="1" applyFont="1" applyFill="1" applyBorder="1" applyAlignment="1">
      <alignment horizontal="center" vertical="center"/>
    </xf>
    <xf numFmtId="0" fontId="3" fillId="4" borderId="27" xfId="1" applyFont="1" applyFill="1" applyBorder="1" applyAlignment="1">
      <alignment horizontal="center" vertical="center"/>
    </xf>
    <xf numFmtId="0" fontId="3" fillId="4" borderId="5" xfId="1" applyFont="1" applyFill="1" applyBorder="1" applyAlignment="1">
      <alignment horizontal="center" vertical="center"/>
    </xf>
    <xf numFmtId="0" fontId="3" fillId="4" borderId="4" xfId="1" applyFont="1" applyFill="1" applyBorder="1" applyAlignment="1">
      <alignment horizontal="center" vertical="center"/>
    </xf>
    <xf numFmtId="0" fontId="3" fillId="4" borderId="6" xfId="1" applyFont="1" applyFill="1" applyBorder="1" applyAlignment="1">
      <alignment horizontal="center" vertical="center"/>
    </xf>
    <xf numFmtId="0" fontId="3" fillId="4" borderId="9" xfId="1" applyFont="1" applyFill="1" applyBorder="1" applyAlignment="1">
      <alignment horizontal="center" vertical="center" textRotation="255"/>
    </xf>
    <xf numFmtId="0" fontId="3" fillId="4" borderId="21" xfId="1" applyFont="1" applyFill="1" applyBorder="1" applyAlignment="1">
      <alignment horizontal="right" vertical="center" indent="1"/>
    </xf>
    <xf numFmtId="0" fontId="3" fillId="4" borderId="22" xfId="1" applyFont="1" applyFill="1" applyBorder="1" applyAlignment="1">
      <alignment horizontal="right" vertical="center" indent="1"/>
    </xf>
    <xf numFmtId="0" fontId="3" fillId="4" borderId="19" xfId="1" applyFont="1" applyFill="1" applyBorder="1" applyAlignment="1">
      <alignment horizontal="right" vertical="center" indent="1"/>
    </xf>
    <xf numFmtId="0" fontId="3" fillId="4" borderId="7" xfId="1" applyFont="1" applyFill="1" applyBorder="1" applyAlignment="1">
      <alignment horizontal="right" vertical="center" indent="1"/>
    </xf>
    <xf numFmtId="0" fontId="3" fillId="4" borderId="12" xfId="1" applyFont="1" applyFill="1" applyBorder="1" applyAlignment="1">
      <alignment horizontal="center" vertical="center"/>
    </xf>
    <xf numFmtId="0" fontId="3" fillId="4" borderId="15" xfId="1" applyFont="1" applyFill="1" applyBorder="1" applyAlignment="1">
      <alignment horizontal="center" vertical="center"/>
    </xf>
    <xf numFmtId="0" fontId="3" fillId="4" borderId="9" xfId="1" applyFont="1" applyFill="1" applyBorder="1" applyAlignment="1">
      <alignment horizontal="center" vertical="center"/>
    </xf>
    <xf numFmtId="0" fontId="4" fillId="0" borderId="9" xfId="1" applyFont="1" applyFill="1" applyBorder="1" applyAlignment="1">
      <alignment horizontal="center" vertical="center"/>
    </xf>
    <xf numFmtId="0" fontId="7" fillId="4" borderId="7" xfId="1" applyFont="1" applyFill="1" applyBorder="1" applyAlignment="1">
      <alignment horizontal="center" vertical="center"/>
    </xf>
    <xf numFmtId="0" fontId="7" fillId="4" borderId="19" xfId="1" applyFont="1" applyFill="1" applyBorder="1" applyAlignment="1">
      <alignment horizontal="center" vertical="center"/>
    </xf>
    <xf numFmtId="56" fontId="3" fillId="4" borderId="7" xfId="1" applyNumberFormat="1" applyFont="1" applyFill="1" applyBorder="1" applyAlignment="1">
      <alignment horizontal="right" vertical="center" indent="1"/>
    </xf>
    <xf numFmtId="56" fontId="3" fillId="4" borderId="19" xfId="1" applyNumberFormat="1" applyFont="1" applyFill="1" applyBorder="1" applyAlignment="1">
      <alignment horizontal="right" vertical="center" indent="1"/>
    </xf>
    <xf numFmtId="176" fontId="3" fillId="2" borderId="5" xfId="1" applyNumberFormat="1" applyFont="1" applyFill="1" applyBorder="1" applyAlignment="1">
      <alignment horizontal="right" vertical="center"/>
    </xf>
    <xf numFmtId="176" fontId="3" fillId="2" borderId="4" xfId="1" applyNumberFormat="1" applyFont="1" applyFill="1" applyBorder="1" applyAlignment="1">
      <alignment horizontal="right" vertical="center"/>
    </xf>
    <xf numFmtId="176" fontId="3" fillId="2" borderId="6" xfId="1" applyNumberFormat="1" applyFont="1" applyFill="1" applyBorder="1" applyAlignment="1">
      <alignment horizontal="right" vertical="center"/>
    </xf>
    <xf numFmtId="0" fontId="7" fillId="4" borderId="1" xfId="1" applyFont="1" applyFill="1" applyBorder="1" applyAlignment="1">
      <alignment horizontal="center" vertical="center"/>
    </xf>
    <xf numFmtId="0" fontId="7" fillId="4" borderId="2" xfId="1" applyFont="1" applyFill="1" applyBorder="1" applyAlignment="1">
      <alignment horizontal="center" vertical="center"/>
    </xf>
    <xf numFmtId="0" fontId="7" fillId="4" borderId="3" xfId="1" applyFont="1" applyFill="1" applyBorder="1" applyAlignment="1">
      <alignment horizontal="center" vertical="center"/>
    </xf>
    <xf numFmtId="0" fontId="3" fillId="4" borderId="28" xfId="1" applyFont="1"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F1:AJ56"/>
  <sheetViews>
    <sheetView tabSelected="1" view="pageBreakPreview" zoomScale="85" zoomScaleNormal="85" zoomScaleSheetLayoutView="85" zoomScalePageLayoutView="70" workbookViewId="0">
      <selection activeCell="U27" sqref="U27:V27"/>
    </sheetView>
  </sheetViews>
  <sheetFormatPr defaultColWidth="5" defaultRowHeight="13.5"/>
  <cols>
    <col min="1" max="4" width="5" style="107"/>
    <col min="5" max="5" width="0.875" style="107" customWidth="1"/>
    <col min="6" max="14" width="5" style="107"/>
    <col min="15" max="15" width="5" style="107" customWidth="1"/>
    <col min="16" max="31" width="5" style="107"/>
    <col min="32" max="32" width="5.5" style="107" bestFit="1" customWidth="1"/>
    <col min="33" max="33" width="5" style="107"/>
    <col min="34" max="34" width="0.875" style="107" customWidth="1"/>
    <col min="35" max="35" width="5" style="107"/>
    <col min="36" max="36" width="10.5" style="107" bestFit="1" customWidth="1"/>
    <col min="37" max="16384" width="5" style="107"/>
  </cols>
  <sheetData>
    <row r="1" spans="6:36" ht="5.25" customHeight="1"/>
    <row r="2" spans="6:36" ht="23.25" customHeight="1">
      <c r="F2" s="222" t="s">
        <v>54</v>
      </c>
      <c r="G2" s="222"/>
      <c r="H2" s="222"/>
      <c r="I2" s="222"/>
      <c r="J2" s="222"/>
      <c r="K2" s="222"/>
      <c r="L2" s="222"/>
      <c r="M2" s="222"/>
      <c r="N2" s="222"/>
      <c r="O2" s="222"/>
      <c r="P2" s="118"/>
      <c r="Q2" s="118"/>
      <c r="R2" s="119" t="s">
        <v>109</v>
      </c>
      <c r="S2" s="223">
        <v>2026</v>
      </c>
      <c r="T2" s="224"/>
      <c r="U2" s="217" t="str">
        <f>IF(S2&gt;0,"（令和"&amp;DBCS(S2-2018)&amp;"年度）","年度）")</f>
        <v>（令和８年度）</v>
      </c>
      <c r="V2" s="217"/>
      <c r="W2" s="217"/>
      <c r="X2" s="217"/>
      <c r="Z2" s="133"/>
      <c r="AA2" s="187"/>
      <c r="AB2" s="187"/>
      <c r="AC2" s="187"/>
      <c r="AD2" s="187"/>
      <c r="AE2" s="187"/>
      <c r="AF2" s="187"/>
    </row>
    <row r="3" spans="6:36" ht="7.5" customHeight="1" thickBot="1"/>
    <row r="4" spans="6:36" ht="16.5" customHeight="1" thickBot="1">
      <c r="F4" s="219"/>
      <c r="G4" s="220"/>
      <c r="H4" s="117" t="s">
        <v>134</v>
      </c>
      <c r="AG4" s="116"/>
    </row>
    <row r="5" spans="6:36" ht="7.5" customHeight="1">
      <c r="F5"/>
      <c r="G5" s="111"/>
      <c r="H5" s="111"/>
      <c r="I5" s="111"/>
    </row>
    <row r="6" spans="6:36" ht="18" customHeight="1">
      <c r="F6" s="110" t="s">
        <v>112</v>
      </c>
      <c r="L6" s="221" t="s">
        <v>123</v>
      </c>
      <c r="M6" s="221"/>
      <c r="N6" s="221"/>
      <c r="O6" s="221"/>
      <c r="P6" s="221"/>
      <c r="Q6" s="221"/>
      <c r="R6" s="221"/>
      <c r="S6" s="221"/>
      <c r="T6" s="221"/>
      <c r="U6" s="120"/>
      <c r="V6" s="218" t="s">
        <v>124</v>
      </c>
      <c r="W6" s="218"/>
      <c r="AJ6" s="140">
        <v>100000</v>
      </c>
    </row>
    <row r="7" spans="6:36" s="108" customFormat="1" ht="27" customHeight="1">
      <c r="F7" s="198"/>
      <c r="G7" s="196"/>
      <c r="H7" s="196" t="s">
        <v>15</v>
      </c>
      <c r="I7" s="196"/>
      <c r="J7" s="196" t="s">
        <v>127</v>
      </c>
      <c r="K7" s="196"/>
      <c r="L7" s="196" t="s">
        <v>0</v>
      </c>
      <c r="M7" s="196"/>
      <c r="N7" s="196"/>
      <c r="O7" s="196" t="s">
        <v>1</v>
      </c>
      <c r="P7" s="196"/>
      <c r="Q7" s="196"/>
      <c r="R7" s="196" t="s">
        <v>2</v>
      </c>
      <c r="S7" s="196"/>
      <c r="T7" s="196"/>
      <c r="U7" s="196" t="s">
        <v>3</v>
      </c>
      <c r="V7" s="196"/>
      <c r="W7" s="196"/>
      <c r="X7" s="196" t="s">
        <v>4</v>
      </c>
      <c r="Y7" s="196"/>
      <c r="Z7" s="196"/>
      <c r="AA7" s="196" t="s">
        <v>128</v>
      </c>
      <c r="AB7" s="196"/>
      <c r="AC7" s="196" t="s">
        <v>40</v>
      </c>
      <c r="AD7" s="196"/>
      <c r="AE7" s="196" t="s">
        <v>129</v>
      </c>
      <c r="AF7" s="196"/>
      <c r="AG7" s="226"/>
    </row>
    <row r="8" spans="6:36" ht="18" customHeight="1">
      <c r="F8" s="192" t="s">
        <v>13</v>
      </c>
      <c r="G8" s="193"/>
      <c r="H8" s="216"/>
      <c r="I8" s="216"/>
      <c r="J8" s="207"/>
      <c r="K8" s="207"/>
      <c r="L8" s="214"/>
      <c r="M8" s="214"/>
      <c r="N8" s="214"/>
      <c r="O8" s="215">
        <f>IF(J8="該当",給与所得計算!K$12*0.3,給与所得計算!K$12)</f>
        <v>0</v>
      </c>
      <c r="P8" s="215"/>
      <c r="Q8" s="215"/>
      <c r="R8" s="214"/>
      <c r="S8" s="214"/>
      <c r="T8" s="214"/>
      <c r="U8" s="197">
        <f>年金所得計算!K$24</f>
        <v>0</v>
      </c>
      <c r="V8" s="197"/>
      <c r="W8" s="197"/>
      <c r="X8" s="214"/>
      <c r="Y8" s="214"/>
      <c r="Z8" s="214"/>
      <c r="AA8" s="197">
        <f>IF(IF(O8&gt;AJ$6,AJ$6,O8)+IF(U8&gt;AJ$6,AJ$6,U8)&lt;AJ$6,0,IF(O8&gt;AJ$6,AJ$6,O8)+IF(U8&gt;AJ$6,AJ$6,U8)-AJ$6)</f>
        <v>0</v>
      </c>
      <c r="AB8" s="197"/>
      <c r="AC8" s="197">
        <f>IF(H8&gt;0,基礎控除計算!G$10,0)</f>
        <v>0</v>
      </c>
      <c r="AD8" s="197"/>
      <c r="AE8" s="197">
        <f t="shared" ref="AE8:AE17" si="0">IF(O8+U8+X8-AA8-AC8&lt;0,0,O8+U8+X8-AA8-AC8)</f>
        <v>0</v>
      </c>
      <c r="AF8" s="197"/>
      <c r="AG8" s="225"/>
      <c r="AJ8" s="113"/>
    </row>
    <row r="9" spans="6:36" ht="18" customHeight="1">
      <c r="F9" s="192" t="s">
        <v>14</v>
      </c>
      <c r="G9" s="193"/>
      <c r="H9" s="216"/>
      <c r="I9" s="216"/>
      <c r="J9" s="207"/>
      <c r="K9" s="207"/>
      <c r="L9" s="214"/>
      <c r="M9" s="214"/>
      <c r="N9" s="214"/>
      <c r="O9" s="215">
        <f>IF(J9="該当",給与所得計算!L$12*0.3,給与所得計算!L$12)</f>
        <v>0</v>
      </c>
      <c r="P9" s="215"/>
      <c r="Q9" s="215"/>
      <c r="R9" s="214"/>
      <c r="S9" s="214"/>
      <c r="T9" s="214"/>
      <c r="U9" s="197">
        <f>年金所得計算!L$24</f>
        <v>0</v>
      </c>
      <c r="V9" s="197"/>
      <c r="W9" s="197"/>
      <c r="X9" s="214"/>
      <c r="Y9" s="214"/>
      <c r="Z9" s="214"/>
      <c r="AA9" s="197">
        <f t="shared" ref="AA9:AA17" si="1">IF(IF(O9&gt;AJ$6,AJ$6,O9)+IF(U9&gt;AJ$6,AJ$6,U9)&lt;AJ$6,0,IF(O9&gt;AJ$6,AJ$6,O9)+IF(U9&gt;AJ$6,AJ$6,U9)-AJ$6)</f>
        <v>0</v>
      </c>
      <c r="AB9" s="197"/>
      <c r="AC9" s="197">
        <f>IF(H9&gt;0,基礎控除計算!H$10,0)</f>
        <v>0</v>
      </c>
      <c r="AD9" s="197"/>
      <c r="AE9" s="197">
        <f t="shared" si="0"/>
        <v>0</v>
      </c>
      <c r="AF9" s="197"/>
      <c r="AG9" s="225"/>
      <c r="AJ9" s="113"/>
    </row>
    <row r="10" spans="6:36" ht="18" customHeight="1">
      <c r="F10" s="192" t="s">
        <v>20</v>
      </c>
      <c r="G10" s="193"/>
      <c r="H10" s="216"/>
      <c r="I10" s="216"/>
      <c r="J10" s="207"/>
      <c r="K10" s="207"/>
      <c r="L10" s="214"/>
      <c r="M10" s="214"/>
      <c r="N10" s="214"/>
      <c r="O10" s="215">
        <f>IF(J10="該当",給与所得計算!M$12*0.3,給与所得計算!M$12)</f>
        <v>0</v>
      </c>
      <c r="P10" s="215"/>
      <c r="Q10" s="215"/>
      <c r="R10" s="214"/>
      <c r="S10" s="214"/>
      <c r="T10" s="214"/>
      <c r="U10" s="197">
        <f>年金所得計算!M$24</f>
        <v>0</v>
      </c>
      <c r="V10" s="197"/>
      <c r="W10" s="197"/>
      <c r="X10" s="214"/>
      <c r="Y10" s="214"/>
      <c r="Z10" s="214"/>
      <c r="AA10" s="197">
        <f t="shared" si="1"/>
        <v>0</v>
      </c>
      <c r="AB10" s="197"/>
      <c r="AC10" s="197">
        <f>IF(H10&gt;0,基礎控除計算!I$10,0)</f>
        <v>0</v>
      </c>
      <c r="AD10" s="197"/>
      <c r="AE10" s="197">
        <f t="shared" si="0"/>
        <v>0</v>
      </c>
      <c r="AF10" s="197"/>
      <c r="AG10" s="225"/>
      <c r="AJ10" s="113"/>
    </row>
    <row r="11" spans="6:36" ht="18" customHeight="1">
      <c r="F11" s="192" t="s">
        <v>21</v>
      </c>
      <c r="G11" s="193"/>
      <c r="H11" s="216"/>
      <c r="I11" s="216"/>
      <c r="J11" s="207"/>
      <c r="K11" s="207"/>
      <c r="L11" s="214"/>
      <c r="M11" s="214"/>
      <c r="N11" s="214"/>
      <c r="O11" s="215">
        <f>IF(J11="該当",給与所得計算!N$12*0.3,給与所得計算!N$12)</f>
        <v>0</v>
      </c>
      <c r="P11" s="215"/>
      <c r="Q11" s="215"/>
      <c r="R11" s="214"/>
      <c r="S11" s="214"/>
      <c r="T11" s="214"/>
      <c r="U11" s="197">
        <f>年金所得計算!N$24</f>
        <v>0</v>
      </c>
      <c r="V11" s="197"/>
      <c r="W11" s="197"/>
      <c r="X11" s="214"/>
      <c r="Y11" s="214"/>
      <c r="Z11" s="214"/>
      <c r="AA11" s="197">
        <f t="shared" si="1"/>
        <v>0</v>
      </c>
      <c r="AB11" s="197"/>
      <c r="AC11" s="197">
        <f>IF(H11&gt;0,基礎控除計算!J$10,0)</f>
        <v>0</v>
      </c>
      <c r="AD11" s="197"/>
      <c r="AE11" s="197">
        <f t="shared" si="0"/>
        <v>0</v>
      </c>
      <c r="AF11" s="197"/>
      <c r="AG11" s="225"/>
      <c r="AJ11" s="113"/>
    </row>
    <row r="12" spans="6:36" ht="18" customHeight="1">
      <c r="F12" s="192" t="s">
        <v>22</v>
      </c>
      <c r="G12" s="193"/>
      <c r="H12" s="216"/>
      <c r="I12" s="216"/>
      <c r="J12" s="207"/>
      <c r="K12" s="207"/>
      <c r="L12" s="214"/>
      <c r="M12" s="214"/>
      <c r="N12" s="214"/>
      <c r="O12" s="215">
        <f>IF(J12="該当",給与所得計算!O$12*0.3,給与所得計算!O$12)</f>
        <v>0</v>
      </c>
      <c r="P12" s="215"/>
      <c r="Q12" s="215"/>
      <c r="R12" s="214"/>
      <c r="S12" s="214"/>
      <c r="T12" s="214"/>
      <c r="U12" s="197">
        <f>年金所得計算!O$24</f>
        <v>0</v>
      </c>
      <c r="V12" s="197"/>
      <c r="W12" s="197"/>
      <c r="X12" s="214"/>
      <c r="Y12" s="214"/>
      <c r="Z12" s="214"/>
      <c r="AA12" s="197">
        <f t="shared" si="1"/>
        <v>0</v>
      </c>
      <c r="AB12" s="197"/>
      <c r="AC12" s="197">
        <f>IF(H12&gt;0,基礎控除計算!K$10,0)</f>
        <v>0</v>
      </c>
      <c r="AD12" s="197"/>
      <c r="AE12" s="197">
        <f t="shared" si="0"/>
        <v>0</v>
      </c>
      <c r="AF12" s="197"/>
      <c r="AG12" s="225"/>
      <c r="AJ12" s="113"/>
    </row>
    <row r="13" spans="6:36" ht="18" customHeight="1">
      <c r="F13" s="192" t="s">
        <v>68</v>
      </c>
      <c r="G13" s="193"/>
      <c r="H13" s="216"/>
      <c r="I13" s="216"/>
      <c r="J13" s="207"/>
      <c r="K13" s="207"/>
      <c r="L13" s="214"/>
      <c r="M13" s="214"/>
      <c r="N13" s="214"/>
      <c r="O13" s="215">
        <f>IF(J13="該当",給与所得計算!P$12*0.3,給与所得計算!P$12)</f>
        <v>0</v>
      </c>
      <c r="P13" s="215"/>
      <c r="Q13" s="215"/>
      <c r="R13" s="214"/>
      <c r="S13" s="214"/>
      <c r="T13" s="214"/>
      <c r="U13" s="197">
        <f>年金所得計算!P$24</f>
        <v>0</v>
      </c>
      <c r="V13" s="197"/>
      <c r="W13" s="197"/>
      <c r="X13" s="214"/>
      <c r="Y13" s="214"/>
      <c r="Z13" s="214"/>
      <c r="AA13" s="197">
        <f t="shared" si="1"/>
        <v>0</v>
      </c>
      <c r="AB13" s="197"/>
      <c r="AC13" s="197">
        <f>IF(H13&gt;0,基礎控除計算!L$10,0)</f>
        <v>0</v>
      </c>
      <c r="AD13" s="197"/>
      <c r="AE13" s="197">
        <f t="shared" si="0"/>
        <v>0</v>
      </c>
      <c r="AF13" s="197"/>
      <c r="AG13" s="225"/>
      <c r="AJ13" s="113"/>
    </row>
    <row r="14" spans="6:36" ht="18" customHeight="1">
      <c r="F14" s="192" t="s">
        <v>69</v>
      </c>
      <c r="G14" s="193"/>
      <c r="H14" s="216"/>
      <c r="I14" s="216"/>
      <c r="J14" s="207"/>
      <c r="K14" s="207"/>
      <c r="L14" s="214"/>
      <c r="M14" s="214"/>
      <c r="N14" s="214"/>
      <c r="O14" s="215">
        <f>IF(J14="該当",給与所得計算!Q$12*0.3,給与所得計算!Q$12)</f>
        <v>0</v>
      </c>
      <c r="P14" s="215"/>
      <c r="Q14" s="215"/>
      <c r="R14" s="214"/>
      <c r="S14" s="214"/>
      <c r="T14" s="214"/>
      <c r="U14" s="197">
        <f>年金所得計算!Q$24</f>
        <v>0</v>
      </c>
      <c r="V14" s="197"/>
      <c r="W14" s="197"/>
      <c r="X14" s="214"/>
      <c r="Y14" s="214"/>
      <c r="Z14" s="214"/>
      <c r="AA14" s="197">
        <f t="shared" si="1"/>
        <v>0</v>
      </c>
      <c r="AB14" s="197"/>
      <c r="AC14" s="197">
        <f>IF(H14&gt;0,基礎控除計算!M$10,0)</f>
        <v>0</v>
      </c>
      <c r="AD14" s="197"/>
      <c r="AE14" s="197">
        <f t="shared" si="0"/>
        <v>0</v>
      </c>
      <c r="AF14" s="197"/>
      <c r="AG14" s="225"/>
      <c r="AJ14" s="113"/>
    </row>
    <row r="15" spans="6:36" ht="18" customHeight="1">
      <c r="F15" s="192" t="s">
        <v>70</v>
      </c>
      <c r="G15" s="193"/>
      <c r="H15" s="216"/>
      <c r="I15" s="216"/>
      <c r="J15" s="207"/>
      <c r="K15" s="207"/>
      <c r="L15" s="214"/>
      <c r="M15" s="214"/>
      <c r="N15" s="214"/>
      <c r="O15" s="215">
        <f>IF(J15="該当",給与所得計算!R$12*0.3,給与所得計算!R$12)</f>
        <v>0</v>
      </c>
      <c r="P15" s="215"/>
      <c r="Q15" s="215"/>
      <c r="R15" s="214"/>
      <c r="S15" s="214"/>
      <c r="T15" s="214"/>
      <c r="U15" s="197">
        <f>年金所得計算!R$24</f>
        <v>0</v>
      </c>
      <c r="V15" s="197"/>
      <c r="W15" s="197"/>
      <c r="X15" s="214"/>
      <c r="Y15" s="214"/>
      <c r="Z15" s="214"/>
      <c r="AA15" s="197">
        <f t="shared" si="1"/>
        <v>0</v>
      </c>
      <c r="AB15" s="197"/>
      <c r="AC15" s="197">
        <f>IF(H15&gt;0,基礎控除計算!N$10,0)</f>
        <v>0</v>
      </c>
      <c r="AD15" s="197"/>
      <c r="AE15" s="197">
        <f t="shared" si="0"/>
        <v>0</v>
      </c>
      <c r="AF15" s="197"/>
      <c r="AG15" s="225"/>
      <c r="AJ15" s="113"/>
    </row>
    <row r="16" spans="6:36" ht="18" customHeight="1">
      <c r="F16" s="192" t="s">
        <v>71</v>
      </c>
      <c r="G16" s="193"/>
      <c r="H16" s="216"/>
      <c r="I16" s="216"/>
      <c r="J16" s="207"/>
      <c r="K16" s="207"/>
      <c r="L16" s="214"/>
      <c r="M16" s="214"/>
      <c r="N16" s="214"/>
      <c r="O16" s="215">
        <f>IF(J16="該当",給与所得計算!S$12*0.3,給与所得計算!S$12)</f>
        <v>0</v>
      </c>
      <c r="P16" s="215"/>
      <c r="Q16" s="215"/>
      <c r="R16" s="214"/>
      <c r="S16" s="214"/>
      <c r="T16" s="214"/>
      <c r="U16" s="197">
        <f>年金所得計算!S$24</f>
        <v>0</v>
      </c>
      <c r="V16" s="197"/>
      <c r="W16" s="197"/>
      <c r="X16" s="214"/>
      <c r="Y16" s="214"/>
      <c r="Z16" s="214"/>
      <c r="AA16" s="197">
        <f t="shared" si="1"/>
        <v>0</v>
      </c>
      <c r="AB16" s="197"/>
      <c r="AC16" s="197">
        <f>IF(H16&gt;0,基礎控除計算!O$10,0)</f>
        <v>0</v>
      </c>
      <c r="AD16" s="197"/>
      <c r="AE16" s="197">
        <f t="shared" si="0"/>
        <v>0</v>
      </c>
      <c r="AF16" s="197"/>
      <c r="AG16" s="225"/>
      <c r="AJ16" s="113"/>
    </row>
    <row r="17" spans="6:36" ht="18" customHeight="1">
      <c r="F17" s="192" t="s">
        <v>72</v>
      </c>
      <c r="G17" s="193"/>
      <c r="H17" s="216"/>
      <c r="I17" s="216"/>
      <c r="J17" s="207"/>
      <c r="K17" s="207"/>
      <c r="L17" s="214"/>
      <c r="M17" s="214"/>
      <c r="N17" s="214"/>
      <c r="O17" s="215">
        <f>IF(J17="該当",給与所得計算!T$12*0.3,給与所得計算!T$12)</f>
        <v>0</v>
      </c>
      <c r="P17" s="215"/>
      <c r="Q17" s="215"/>
      <c r="R17" s="214"/>
      <c r="S17" s="214"/>
      <c r="T17" s="214"/>
      <c r="U17" s="197">
        <f>年金所得計算!T$24</f>
        <v>0</v>
      </c>
      <c r="V17" s="197"/>
      <c r="W17" s="197"/>
      <c r="X17" s="214"/>
      <c r="Y17" s="214"/>
      <c r="Z17" s="214"/>
      <c r="AA17" s="197">
        <f t="shared" si="1"/>
        <v>0</v>
      </c>
      <c r="AB17" s="197"/>
      <c r="AC17" s="197">
        <f>IF(H17&gt;0,基礎控除計算!P$10,0)</f>
        <v>0</v>
      </c>
      <c r="AD17" s="197"/>
      <c r="AE17" s="197">
        <f t="shared" si="0"/>
        <v>0</v>
      </c>
      <c r="AF17" s="197"/>
      <c r="AG17" s="225"/>
      <c r="AJ17" s="113"/>
    </row>
    <row r="18" spans="6:36" ht="18" customHeight="1">
      <c r="F18" s="242" t="s">
        <v>184</v>
      </c>
      <c r="G18" s="243"/>
      <c r="H18" s="216"/>
      <c r="I18" s="216"/>
      <c r="J18" s="207"/>
      <c r="K18" s="207"/>
      <c r="L18" s="214"/>
      <c r="M18" s="214"/>
      <c r="N18" s="214"/>
      <c r="O18" s="215">
        <f>IF(J18="該当",給与所得計算!T$12*0.3,給与所得計算!T$12)</f>
        <v>0</v>
      </c>
      <c r="P18" s="215"/>
      <c r="Q18" s="215"/>
      <c r="R18" s="214"/>
      <c r="S18" s="214"/>
      <c r="T18" s="214"/>
      <c r="U18" s="197">
        <f>年金所得計算!U$24</f>
        <v>0</v>
      </c>
      <c r="V18" s="197"/>
      <c r="W18" s="197"/>
      <c r="X18" s="214"/>
      <c r="Y18" s="214"/>
      <c r="Z18" s="214"/>
      <c r="AA18" s="197">
        <f t="shared" ref="AA18" si="2">IF(IF(O18&gt;AJ$6,AJ$6,O18)+IF(U18&gt;AJ$6,AJ$6,U18)&lt;AJ$6,0,IF(O18&gt;AJ$6,AJ$6,O18)+IF(U18&gt;AJ$6,AJ$6,U18)-AJ$6)</f>
        <v>0</v>
      </c>
      <c r="AB18" s="197"/>
      <c r="AC18" s="240"/>
      <c r="AD18" s="240"/>
      <c r="AE18" s="240"/>
      <c r="AF18" s="240"/>
      <c r="AG18" s="241"/>
    </row>
    <row r="19" spans="6:36" ht="17.25" customHeight="1"/>
    <row r="20" spans="6:36" ht="16.5" customHeight="1">
      <c r="F20" s="110" t="s">
        <v>133</v>
      </c>
      <c r="N20" s="136"/>
      <c r="O20" s="136"/>
      <c r="X20" s="122" t="s">
        <v>135</v>
      </c>
      <c r="Y20" s="123"/>
      <c r="Z20" s="123"/>
      <c r="AA20" s="123"/>
      <c r="AB20" s="123"/>
      <c r="AC20" s="123"/>
      <c r="AD20" s="123"/>
      <c r="AE20" s="123"/>
      <c r="AF20" s="123"/>
      <c r="AG20" s="124"/>
    </row>
    <row r="21" spans="6:36" ht="16.5" customHeight="1">
      <c r="F21" s="227"/>
      <c r="G21" s="228"/>
      <c r="H21" s="193" t="s">
        <v>47</v>
      </c>
      <c r="I21" s="193"/>
      <c r="J21" s="193" t="s">
        <v>48</v>
      </c>
      <c r="K21" s="193"/>
      <c r="L21" s="193" t="s">
        <v>49</v>
      </c>
      <c r="M21" s="193"/>
      <c r="N21" s="209" t="s">
        <v>202</v>
      </c>
      <c r="O21" s="210"/>
      <c r="X21" s="232" t="s">
        <v>139</v>
      </c>
      <c r="Y21" s="233"/>
      <c r="Z21" s="233"/>
      <c r="AA21" s="233"/>
      <c r="AB21" s="233"/>
      <c r="AC21" s="233"/>
      <c r="AD21" s="233"/>
      <c r="AE21" s="233"/>
      <c r="AF21" s="233"/>
      <c r="AG21" s="234"/>
    </row>
    <row r="22" spans="6:36" ht="16.5" customHeight="1">
      <c r="F22" s="192" t="s">
        <v>46</v>
      </c>
      <c r="G22" s="193"/>
      <c r="H22" s="212">
        <v>7.8E-2</v>
      </c>
      <c r="I22" s="212"/>
      <c r="J22" s="212">
        <v>2.7E-2</v>
      </c>
      <c r="K22" s="212"/>
      <c r="L22" s="212">
        <v>2.3E-2</v>
      </c>
      <c r="M22" s="212"/>
      <c r="N22" s="212">
        <v>2E-3</v>
      </c>
      <c r="O22" s="213"/>
      <c r="X22" s="128" t="s">
        <v>132</v>
      </c>
      <c r="Y22" s="126"/>
      <c r="Z22" s="126"/>
      <c r="AA22" s="126"/>
      <c r="AB22" s="126"/>
      <c r="AC22" s="126"/>
      <c r="AD22" s="126"/>
      <c r="AE22" s="126"/>
      <c r="AF22" s="126"/>
      <c r="AG22" s="127"/>
    </row>
    <row r="23" spans="6:36" ht="16.5" customHeight="1">
      <c r="F23" s="192" t="s">
        <v>50</v>
      </c>
      <c r="G23" s="193"/>
      <c r="H23" s="206">
        <v>44800</v>
      </c>
      <c r="I23" s="206"/>
      <c r="J23" s="206">
        <v>16200</v>
      </c>
      <c r="K23" s="206"/>
      <c r="L23" s="206">
        <v>16400</v>
      </c>
      <c r="M23" s="206"/>
      <c r="N23" s="206">
        <v>1400</v>
      </c>
      <c r="O23" s="211"/>
      <c r="X23" s="244" t="s">
        <v>185</v>
      </c>
      <c r="Y23" s="233" t="s">
        <v>186</v>
      </c>
      <c r="Z23" s="233"/>
      <c r="AA23" s="233"/>
      <c r="AB23" s="233"/>
      <c r="AC23" s="233"/>
      <c r="AD23" s="233"/>
      <c r="AE23" s="233"/>
      <c r="AF23" s="233"/>
      <c r="AG23" s="234"/>
    </row>
    <row r="24" spans="6:36">
      <c r="F24" s="192" t="s">
        <v>52</v>
      </c>
      <c r="G24" s="193"/>
      <c r="H24" s="206">
        <v>670000</v>
      </c>
      <c r="I24" s="206"/>
      <c r="J24" s="206">
        <v>260000</v>
      </c>
      <c r="K24" s="206"/>
      <c r="L24" s="206">
        <f>税額計算!H7</f>
        <v>170000</v>
      </c>
      <c r="M24" s="206"/>
      <c r="N24" s="206">
        <v>30000</v>
      </c>
      <c r="O24" s="211"/>
      <c r="X24" s="245"/>
      <c r="Y24" s="233"/>
      <c r="Z24" s="233"/>
      <c r="AA24" s="233"/>
      <c r="AB24" s="233"/>
      <c r="AC24" s="233"/>
      <c r="AD24" s="233"/>
      <c r="AE24" s="233"/>
      <c r="AF24" s="233"/>
      <c r="AG24" s="234"/>
    </row>
    <row r="25" spans="6:36" ht="14.25">
      <c r="F25" s="115"/>
      <c r="G25" s="115"/>
      <c r="H25" s="114"/>
      <c r="I25" s="114"/>
      <c r="J25" s="114"/>
      <c r="K25" s="114"/>
      <c r="L25" s="114"/>
      <c r="M25" s="114"/>
      <c r="O25" s="112"/>
      <c r="R25" s="229" t="s">
        <v>125</v>
      </c>
      <c r="S25" s="237" t="s">
        <v>155</v>
      </c>
      <c r="T25" s="237"/>
      <c r="U25" s="237"/>
      <c r="V25" s="237"/>
      <c r="W25" s="237"/>
      <c r="X25" s="245"/>
      <c r="Y25" s="233"/>
      <c r="Z25" s="233"/>
      <c r="AA25" s="233"/>
      <c r="AB25" s="233"/>
      <c r="AC25" s="233"/>
      <c r="AD25" s="233"/>
      <c r="AE25" s="233"/>
      <c r="AF25" s="233"/>
      <c r="AG25" s="234"/>
    </row>
    <row r="26" spans="6:36" ht="18" customHeight="1">
      <c r="F26" s="110" t="s">
        <v>113</v>
      </c>
      <c r="I26" s="119" t="s">
        <v>130</v>
      </c>
      <c r="J26" s="182">
        <f>U6</f>
        <v>0</v>
      </c>
      <c r="K26" s="118" t="s">
        <v>131</v>
      </c>
      <c r="L26" s="118"/>
      <c r="O26" s="112"/>
      <c r="R26" s="229"/>
      <c r="S26" s="237"/>
      <c r="T26" s="237"/>
      <c r="U26" s="237"/>
      <c r="V26" s="237"/>
      <c r="W26" s="237"/>
      <c r="X26" s="245"/>
      <c r="Y26" s="233"/>
      <c r="Z26" s="233"/>
      <c r="AA26" s="233"/>
      <c r="AB26" s="233"/>
      <c r="AC26" s="233"/>
      <c r="AD26" s="233"/>
      <c r="AE26" s="233"/>
      <c r="AF26" s="233"/>
      <c r="AG26" s="234"/>
    </row>
    <row r="27" spans="6:36" ht="18" customHeight="1">
      <c r="F27" s="198"/>
      <c r="G27" s="196"/>
      <c r="H27" s="196" t="s">
        <v>96</v>
      </c>
      <c r="I27" s="196"/>
      <c r="J27" s="196" t="s">
        <v>97</v>
      </c>
      <c r="K27" s="196"/>
      <c r="L27" s="196" t="s">
        <v>98</v>
      </c>
      <c r="M27" s="196"/>
      <c r="N27" s="196" t="s">
        <v>202</v>
      </c>
      <c r="O27" s="196"/>
      <c r="P27" s="196" t="s">
        <v>99</v>
      </c>
      <c r="Q27" s="226"/>
      <c r="R27" s="118"/>
      <c r="S27" s="139"/>
      <c r="T27" s="139"/>
      <c r="U27" s="235"/>
      <c r="V27" s="236"/>
      <c r="W27" s="118" t="s">
        <v>126</v>
      </c>
      <c r="X27" s="132"/>
      <c r="Y27" s="133"/>
      <c r="Z27" s="133"/>
      <c r="AA27" s="133"/>
      <c r="AB27" s="133"/>
      <c r="AC27" s="133"/>
      <c r="AD27" s="133"/>
      <c r="AE27" s="133"/>
      <c r="AF27" s="133"/>
      <c r="AG27" s="134"/>
    </row>
    <row r="28" spans="6:36" ht="18" customHeight="1">
      <c r="F28" s="192" t="s">
        <v>13</v>
      </c>
      <c r="G28" s="193"/>
      <c r="H28" s="197">
        <f>IFERROR(税額計算!R14,0)</f>
        <v>0</v>
      </c>
      <c r="I28" s="197"/>
      <c r="J28" s="197">
        <f>IFERROR(税額計算!R27,0)</f>
        <v>0</v>
      </c>
      <c r="K28" s="197"/>
      <c r="L28" s="197">
        <f>IFERROR(税額計算!S40,0)</f>
        <v>0</v>
      </c>
      <c r="M28" s="197"/>
      <c r="N28" s="197">
        <f>IFERROR(税額計算!R55,0)</f>
        <v>0</v>
      </c>
      <c r="O28" s="197"/>
      <c r="P28" s="197">
        <f>SUM(H28:O28)</f>
        <v>0</v>
      </c>
      <c r="Q28" s="225"/>
      <c r="R28" s="192"/>
      <c r="S28" s="193"/>
      <c r="T28" s="193" t="s">
        <v>114</v>
      </c>
      <c r="U28" s="209"/>
      <c r="V28" s="193" t="s">
        <v>111</v>
      </c>
      <c r="W28" s="239"/>
      <c r="X28" s="232" t="s">
        <v>140</v>
      </c>
      <c r="Y28" s="233"/>
      <c r="Z28" s="233"/>
      <c r="AA28" s="233"/>
      <c r="AB28" s="233"/>
      <c r="AC28" s="233"/>
      <c r="AD28" s="233"/>
      <c r="AE28" s="233"/>
      <c r="AF28" s="233"/>
      <c r="AG28" s="234"/>
    </row>
    <row r="29" spans="6:36" ht="18" customHeight="1">
      <c r="F29" s="192" t="s">
        <v>14</v>
      </c>
      <c r="G29" s="193"/>
      <c r="H29" s="197">
        <f>IFERROR(税額計算!R15,0)</f>
        <v>0</v>
      </c>
      <c r="I29" s="197"/>
      <c r="J29" s="197">
        <f>IFERROR(税額計算!R28,0)</f>
        <v>0</v>
      </c>
      <c r="K29" s="197"/>
      <c r="L29" s="197">
        <f>IFERROR(税額計算!S41,0)</f>
        <v>0</v>
      </c>
      <c r="M29" s="197"/>
      <c r="N29" s="197">
        <f>IFERROR(税額計算!R56,0)</f>
        <v>0</v>
      </c>
      <c r="O29" s="197"/>
      <c r="P29" s="197">
        <f t="shared" ref="P29:P37" si="3">SUM(H29:O29)</f>
        <v>0</v>
      </c>
      <c r="Q29" s="225"/>
      <c r="R29" s="192" t="s">
        <v>100</v>
      </c>
      <c r="S29" s="193"/>
      <c r="T29" s="199" t="s">
        <v>115</v>
      </c>
      <c r="U29" s="200"/>
      <c r="V29" s="197" t="e">
        <f>VLOOKUP(U$27,振分期別表!B$5:K$16,2,FALSE)</f>
        <v>#N/A</v>
      </c>
      <c r="W29" s="225"/>
      <c r="X29" s="232"/>
      <c r="Y29" s="233"/>
      <c r="Z29" s="233"/>
      <c r="AA29" s="233"/>
      <c r="AB29" s="233"/>
      <c r="AC29" s="233"/>
      <c r="AD29" s="233"/>
      <c r="AE29" s="233"/>
      <c r="AF29" s="233"/>
      <c r="AG29" s="234"/>
    </row>
    <row r="30" spans="6:36" ht="18" customHeight="1">
      <c r="F30" s="192" t="s">
        <v>20</v>
      </c>
      <c r="G30" s="193"/>
      <c r="H30" s="197">
        <f>IFERROR(税額計算!R16,0)</f>
        <v>0</v>
      </c>
      <c r="I30" s="197"/>
      <c r="J30" s="197">
        <f>IFERROR(税額計算!R29,0)</f>
        <v>0</v>
      </c>
      <c r="K30" s="197"/>
      <c r="L30" s="197">
        <f>IFERROR(税額計算!S42,0)</f>
        <v>0</v>
      </c>
      <c r="M30" s="197"/>
      <c r="N30" s="197">
        <f>IFERROR(税額計算!R57,0)</f>
        <v>0</v>
      </c>
      <c r="O30" s="197"/>
      <c r="P30" s="197">
        <f t="shared" si="3"/>
        <v>0</v>
      </c>
      <c r="Q30" s="225"/>
      <c r="R30" s="192" t="s">
        <v>101</v>
      </c>
      <c r="S30" s="193"/>
      <c r="T30" s="199" t="s">
        <v>116</v>
      </c>
      <c r="U30" s="200"/>
      <c r="V30" s="197" t="e">
        <f>VLOOKUP(U$27,振分期別表!B$5:K$16,3,FALSE)</f>
        <v>#N/A</v>
      </c>
      <c r="W30" s="225"/>
      <c r="X30" s="232"/>
      <c r="Y30" s="233"/>
      <c r="Z30" s="233"/>
      <c r="AA30" s="233"/>
      <c r="AB30" s="233"/>
      <c r="AC30" s="233"/>
      <c r="AD30" s="233"/>
      <c r="AE30" s="233"/>
      <c r="AF30" s="233"/>
      <c r="AG30" s="234"/>
    </row>
    <row r="31" spans="6:36" ht="18" customHeight="1">
      <c r="F31" s="192" t="s">
        <v>21</v>
      </c>
      <c r="G31" s="193"/>
      <c r="H31" s="197">
        <f>IFERROR(税額計算!R17,0)</f>
        <v>0</v>
      </c>
      <c r="I31" s="197"/>
      <c r="J31" s="197">
        <f>IFERROR(税額計算!R30,0)</f>
        <v>0</v>
      </c>
      <c r="K31" s="197"/>
      <c r="L31" s="197">
        <f>IFERROR(税額計算!S43,0)</f>
        <v>0</v>
      </c>
      <c r="M31" s="197"/>
      <c r="N31" s="197">
        <f>IFERROR(税額計算!R58,0)</f>
        <v>0</v>
      </c>
      <c r="O31" s="197"/>
      <c r="P31" s="197">
        <f t="shared" si="3"/>
        <v>0</v>
      </c>
      <c r="Q31" s="225"/>
      <c r="R31" s="192" t="s">
        <v>102</v>
      </c>
      <c r="S31" s="193"/>
      <c r="T31" s="199" t="s">
        <v>117</v>
      </c>
      <c r="U31" s="200"/>
      <c r="V31" s="197" t="e">
        <f>VLOOKUP(U$27,振分期別表!B$5:K$16,4,FALSE)</f>
        <v>#N/A</v>
      </c>
      <c r="W31" s="225"/>
      <c r="X31" s="128" t="s">
        <v>136</v>
      </c>
      <c r="Y31" s="129"/>
      <c r="Z31" s="129"/>
      <c r="AA31" s="129"/>
      <c r="AB31" s="129"/>
      <c r="AC31" s="129"/>
      <c r="AD31" s="129"/>
      <c r="AE31" s="129"/>
      <c r="AF31" s="129"/>
      <c r="AG31" s="130"/>
    </row>
    <row r="32" spans="6:36" ht="18" customHeight="1">
      <c r="F32" s="192" t="s">
        <v>22</v>
      </c>
      <c r="G32" s="193"/>
      <c r="H32" s="197">
        <f>IFERROR(税額計算!R18,0)</f>
        <v>0</v>
      </c>
      <c r="I32" s="197"/>
      <c r="J32" s="197">
        <f>IFERROR(税額計算!R31,0)</f>
        <v>0</v>
      </c>
      <c r="K32" s="197"/>
      <c r="L32" s="197">
        <f>IFERROR(税額計算!S44,0)</f>
        <v>0</v>
      </c>
      <c r="M32" s="197"/>
      <c r="N32" s="197">
        <f>IFERROR(税額計算!R59,0)</f>
        <v>0</v>
      </c>
      <c r="O32" s="197"/>
      <c r="P32" s="197">
        <f t="shared" si="3"/>
        <v>0</v>
      </c>
      <c r="Q32" s="225"/>
      <c r="R32" s="192" t="s">
        <v>103</v>
      </c>
      <c r="S32" s="193"/>
      <c r="T32" s="199" t="s">
        <v>118</v>
      </c>
      <c r="U32" s="200"/>
      <c r="V32" s="197" t="e">
        <f>VLOOKUP(U$27,振分期別表!B$5:K$16,5,FALSE)</f>
        <v>#N/A</v>
      </c>
      <c r="W32" s="238"/>
      <c r="X32" s="125"/>
      <c r="Y32" s="126" t="s">
        <v>199</v>
      </c>
      <c r="Z32" s="126"/>
      <c r="AA32" s="126"/>
      <c r="AB32" s="126"/>
      <c r="AC32" s="126"/>
      <c r="AD32" s="126"/>
      <c r="AE32" s="126"/>
      <c r="AF32" s="126"/>
      <c r="AG32" s="127"/>
    </row>
    <row r="33" spans="6:33" ht="18" customHeight="1">
      <c r="F33" s="192" t="s">
        <v>68</v>
      </c>
      <c r="G33" s="193"/>
      <c r="H33" s="197">
        <f>IFERROR(税額計算!R19,0)</f>
        <v>0</v>
      </c>
      <c r="I33" s="197"/>
      <c r="J33" s="197">
        <f>IFERROR(税額計算!R32,0)</f>
        <v>0</v>
      </c>
      <c r="K33" s="197"/>
      <c r="L33" s="197">
        <f>IFERROR(税額計算!S45,0)</f>
        <v>0</v>
      </c>
      <c r="M33" s="197"/>
      <c r="N33" s="197">
        <f>IFERROR(税額計算!R60,0)</f>
        <v>0</v>
      </c>
      <c r="O33" s="197"/>
      <c r="P33" s="197">
        <f t="shared" si="3"/>
        <v>0</v>
      </c>
      <c r="Q33" s="225"/>
      <c r="R33" s="192" t="s">
        <v>104</v>
      </c>
      <c r="S33" s="193"/>
      <c r="T33" s="199" t="s">
        <v>119</v>
      </c>
      <c r="U33" s="200"/>
      <c r="V33" s="197" t="e">
        <f>VLOOKUP(U$27,振分期別表!B$5:K$16,6,FALSE)</f>
        <v>#N/A</v>
      </c>
      <c r="W33" s="225"/>
      <c r="X33" s="125"/>
      <c r="Y33" s="126" t="s">
        <v>200</v>
      </c>
      <c r="Z33" s="126"/>
      <c r="AA33" s="126"/>
      <c r="AB33" s="126"/>
      <c r="AC33" s="126"/>
      <c r="AD33" s="126"/>
      <c r="AE33" s="126"/>
      <c r="AF33" s="126"/>
      <c r="AG33" s="127"/>
    </row>
    <row r="34" spans="6:33" ht="18" customHeight="1">
      <c r="F34" s="192" t="s">
        <v>69</v>
      </c>
      <c r="G34" s="193"/>
      <c r="H34" s="197">
        <f>IFERROR(税額計算!R20,0)</f>
        <v>0</v>
      </c>
      <c r="I34" s="197"/>
      <c r="J34" s="197">
        <f>IFERROR(税額計算!R33,0)</f>
        <v>0</v>
      </c>
      <c r="K34" s="197"/>
      <c r="L34" s="197">
        <f>IFERROR(税額計算!S46,0)</f>
        <v>0</v>
      </c>
      <c r="M34" s="197"/>
      <c r="N34" s="197">
        <f>IFERROR(税額計算!R61,0)</f>
        <v>0</v>
      </c>
      <c r="O34" s="197"/>
      <c r="P34" s="197">
        <f t="shared" si="3"/>
        <v>0</v>
      </c>
      <c r="Q34" s="225"/>
      <c r="R34" s="192" t="s">
        <v>105</v>
      </c>
      <c r="S34" s="193"/>
      <c r="T34" s="199" t="s">
        <v>120</v>
      </c>
      <c r="U34" s="200"/>
      <c r="V34" s="197" t="e">
        <f>VLOOKUP(U$27,振分期別表!B$5:K$16,7,FALSE)</f>
        <v>#N/A</v>
      </c>
      <c r="W34" s="225"/>
      <c r="X34" s="132"/>
      <c r="Y34" s="133"/>
      <c r="Z34" s="133"/>
      <c r="AA34" s="133"/>
      <c r="AB34" s="133"/>
      <c r="AC34" s="133"/>
      <c r="AD34" s="133"/>
      <c r="AE34" s="133"/>
      <c r="AF34" s="133"/>
      <c r="AG34" s="134"/>
    </row>
    <row r="35" spans="6:33" ht="18" customHeight="1">
      <c r="F35" s="192" t="s">
        <v>70</v>
      </c>
      <c r="G35" s="193"/>
      <c r="H35" s="197">
        <f>IFERROR(税額計算!R21,0)</f>
        <v>0</v>
      </c>
      <c r="I35" s="197"/>
      <c r="J35" s="197">
        <f>IFERROR(税額計算!R34,0)</f>
        <v>0</v>
      </c>
      <c r="K35" s="197"/>
      <c r="L35" s="197">
        <f>IFERROR(税額計算!S47,0)</f>
        <v>0</v>
      </c>
      <c r="M35" s="197"/>
      <c r="N35" s="197">
        <f>IFERROR(税額計算!R62,0)</f>
        <v>0</v>
      </c>
      <c r="O35" s="197"/>
      <c r="P35" s="197">
        <f t="shared" si="3"/>
        <v>0</v>
      </c>
      <c r="Q35" s="225"/>
      <c r="R35" s="192" t="s">
        <v>106</v>
      </c>
      <c r="S35" s="193"/>
      <c r="T35" s="199" t="s">
        <v>121</v>
      </c>
      <c r="U35" s="200"/>
      <c r="V35" s="197" t="e">
        <f>VLOOKUP(U$27,振分期別表!B$5:K$16,8,FALSE)</f>
        <v>#N/A</v>
      </c>
      <c r="W35" s="225"/>
      <c r="X35" s="125"/>
      <c r="Y35" s="126"/>
      <c r="Z35" s="126"/>
      <c r="AA35" s="126"/>
      <c r="AB35" s="126"/>
      <c r="AC35" s="126"/>
      <c r="AD35" s="126"/>
      <c r="AE35" s="126"/>
      <c r="AF35" s="126"/>
      <c r="AG35" s="127"/>
    </row>
    <row r="36" spans="6:33" ht="18" customHeight="1">
      <c r="F36" s="192" t="s">
        <v>71</v>
      </c>
      <c r="G36" s="193"/>
      <c r="H36" s="197">
        <f>IFERROR(税額計算!R22,0)</f>
        <v>0</v>
      </c>
      <c r="I36" s="197"/>
      <c r="J36" s="197">
        <f>IFERROR(税額計算!R35,0)</f>
        <v>0</v>
      </c>
      <c r="K36" s="197"/>
      <c r="L36" s="197">
        <f>IFERROR(税額計算!S48,0)</f>
        <v>0</v>
      </c>
      <c r="M36" s="197"/>
      <c r="N36" s="197">
        <f>IFERROR(税額計算!R63,0)</f>
        <v>0</v>
      </c>
      <c r="O36" s="197"/>
      <c r="P36" s="197">
        <f t="shared" si="3"/>
        <v>0</v>
      </c>
      <c r="Q36" s="225"/>
      <c r="R36" s="192" t="s">
        <v>107</v>
      </c>
      <c r="S36" s="193"/>
      <c r="T36" s="199" t="s">
        <v>122</v>
      </c>
      <c r="U36" s="200"/>
      <c r="V36" s="197" t="e">
        <f>VLOOKUP(U$27,振分期別表!B$5:K$16,9,FALSE)</f>
        <v>#N/A</v>
      </c>
      <c r="W36" s="225"/>
      <c r="X36" s="138" t="s">
        <v>137</v>
      </c>
      <c r="Y36" s="230" t="s">
        <v>138</v>
      </c>
      <c r="Z36" s="230"/>
      <c r="AA36" s="230"/>
      <c r="AB36" s="230"/>
      <c r="AC36" s="230"/>
      <c r="AD36" s="230"/>
      <c r="AE36" s="230"/>
      <c r="AF36" s="230"/>
      <c r="AG36" s="231"/>
    </row>
    <row r="37" spans="6:33" ht="18" customHeight="1" thickBot="1">
      <c r="F37" s="194" t="s">
        <v>72</v>
      </c>
      <c r="G37" s="195"/>
      <c r="H37" s="208">
        <f>IFERROR(税額計算!R23,0)</f>
        <v>0</v>
      </c>
      <c r="I37" s="208"/>
      <c r="J37" s="208">
        <f>IFERROR(税額計算!R36,0)</f>
        <v>0</v>
      </c>
      <c r="K37" s="208"/>
      <c r="L37" s="208">
        <f>IFERROR(税額計算!S49,0)</f>
        <v>0</v>
      </c>
      <c r="M37" s="208"/>
      <c r="N37" s="197">
        <f>IFERROR(税額計算!R64,0)</f>
        <v>0</v>
      </c>
      <c r="O37" s="197"/>
      <c r="P37" s="197">
        <f t="shared" si="3"/>
        <v>0</v>
      </c>
      <c r="Q37" s="225"/>
      <c r="R37" s="192" t="s">
        <v>108</v>
      </c>
      <c r="S37" s="193"/>
      <c r="T37" s="199" t="s">
        <v>156</v>
      </c>
      <c r="U37" s="200"/>
      <c r="V37" s="197" t="e">
        <f>VLOOKUP(U$27,振分期別表!B$5:K$16,10,FALSE)</f>
        <v>#N/A</v>
      </c>
      <c r="W37" s="225"/>
      <c r="X37" s="131"/>
      <c r="Y37" s="230"/>
      <c r="Z37" s="230"/>
      <c r="AA37" s="230"/>
      <c r="AB37" s="230"/>
      <c r="AC37" s="230"/>
      <c r="AD37" s="230"/>
      <c r="AE37" s="230"/>
      <c r="AF37" s="230"/>
      <c r="AG37" s="231"/>
    </row>
    <row r="38" spans="6:33" ht="18" customHeight="1" thickBot="1">
      <c r="F38" s="202" t="s">
        <v>110</v>
      </c>
      <c r="G38" s="203"/>
      <c r="H38" s="201">
        <f>SUM(H28:H37)</f>
        <v>0</v>
      </c>
      <c r="I38" s="201"/>
      <c r="J38" s="201">
        <f>SUM(J28:J37)</f>
        <v>0</v>
      </c>
      <c r="K38" s="201"/>
      <c r="L38" s="201">
        <f>SUM(L28:L37)</f>
        <v>0</v>
      </c>
      <c r="M38" s="201"/>
      <c r="N38" s="201">
        <f>SUM(N28:N37)</f>
        <v>0</v>
      </c>
      <c r="O38" s="201"/>
      <c r="P38" s="201">
        <f>SUM(P28:P37)</f>
        <v>0</v>
      </c>
      <c r="Q38" s="189"/>
      <c r="R38" s="190" t="str">
        <f>"÷"&amp;U6&amp;"か月＝"</f>
        <v>÷か月＝</v>
      </c>
      <c r="S38" s="191"/>
      <c r="T38" s="188" t="e">
        <f>P38/J26</f>
        <v>#DIV/0!</v>
      </c>
      <c r="U38" s="189"/>
      <c r="X38" s="131"/>
      <c r="Y38" s="230"/>
      <c r="Z38" s="230"/>
      <c r="AA38" s="230"/>
      <c r="AB38" s="230"/>
      <c r="AC38" s="230"/>
      <c r="AD38" s="230"/>
      <c r="AE38" s="230"/>
      <c r="AF38" s="230"/>
      <c r="AG38" s="231"/>
    </row>
    <row r="39" spans="6:33" ht="5.25" customHeight="1" thickBot="1">
      <c r="U39" s="118"/>
      <c r="V39" s="118"/>
      <c r="W39" s="118"/>
      <c r="X39" s="135"/>
      <c r="Y39" s="136"/>
      <c r="Z39" s="136"/>
      <c r="AA39" s="136"/>
      <c r="AB39" s="136"/>
      <c r="AC39" s="136"/>
      <c r="AD39" s="136"/>
      <c r="AE39" s="136"/>
      <c r="AF39" s="136"/>
      <c r="AG39" s="137"/>
    </row>
    <row r="40" spans="6:33">
      <c r="L40" s="205" t="s">
        <v>161</v>
      </c>
      <c r="M40" s="205"/>
      <c r="N40" s="204" t="str">
        <f>税額計算!J4</f>
        <v>７割軽減</v>
      </c>
      <c r="O40" s="204"/>
      <c r="S40" s="121" t="s">
        <v>141</v>
      </c>
    </row>
    <row r="42" spans="6:33">
      <c r="F42" s="109"/>
    </row>
    <row r="43" spans="6:33">
      <c r="F43" s="109"/>
    </row>
    <row r="44" spans="6:33">
      <c r="F44" s="109"/>
    </row>
    <row r="45" spans="6:33">
      <c r="F45" s="109"/>
    </row>
    <row r="46" spans="6:33">
      <c r="F46" s="109"/>
    </row>
    <row r="47" spans="6:33">
      <c r="F47" s="109"/>
    </row>
    <row r="48" spans="6:33">
      <c r="F48" s="109"/>
    </row>
    <row r="49" spans="6:6">
      <c r="F49" s="109"/>
    </row>
    <row r="50" spans="6:6">
      <c r="F50" s="109"/>
    </row>
    <row r="51" spans="6:6">
      <c r="F51" s="109"/>
    </row>
    <row r="52" spans="6:6">
      <c r="F52" s="109"/>
    </row>
    <row r="53" spans="6:6">
      <c r="F53" s="109"/>
    </row>
    <row r="54" spans="6:6">
      <c r="F54" s="109"/>
    </row>
    <row r="56" spans="6:6">
      <c r="F56" s="109"/>
    </row>
  </sheetData>
  <sheetProtection algorithmName="SHA-512" hashValue="YxuuxB1/4e3thdRIenjYvamK6ISmqeJUSnv/mQgD4mklik0m9+qRnVPaclxM+Kzwv8ycHIie/QYcdTwTU5ms/A==" saltValue="yuUpZlgc5MgGTYQkocMxrg==" spinCount="100000" sheet="1" selectLockedCells="1"/>
  <mergeCells count="273">
    <mergeCell ref="Y23:AG26"/>
    <mergeCell ref="X23:X26"/>
    <mergeCell ref="F24:G24"/>
    <mergeCell ref="H21:I21"/>
    <mergeCell ref="H22:I22"/>
    <mergeCell ref="H23:I23"/>
    <mergeCell ref="L33:M33"/>
    <mergeCell ref="J30:K30"/>
    <mergeCell ref="J31:K31"/>
    <mergeCell ref="J32:K32"/>
    <mergeCell ref="L27:M27"/>
    <mergeCell ref="R28:S28"/>
    <mergeCell ref="F33:G33"/>
    <mergeCell ref="P32:Q32"/>
    <mergeCell ref="J28:K28"/>
    <mergeCell ref="J29:K29"/>
    <mergeCell ref="L28:M28"/>
    <mergeCell ref="L29:M29"/>
    <mergeCell ref="L30:M30"/>
    <mergeCell ref="L31:M31"/>
    <mergeCell ref="L32:M32"/>
    <mergeCell ref="AC18:AD18"/>
    <mergeCell ref="AE18:AG18"/>
    <mergeCell ref="F18:G18"/>
    <mergeCell ref="H18:I18"/>
    <mergeCell ref="J18:K18"/>
    <mergeCell ref="L18:N18"/>
    <mergeCell ref="O18:Q18"/>
    <mergeCell ref="R18:T18"/>
    <mergeCell ref="U18:W18"/>
    <mergeCell ref="X18:Z18"/>
    <mergeCell ref="AA18:AB18"/>
    <mergeCell ref="Y36:AG38"/>
    <mergeCell ref="X21:AG21"/>
    <mergeCell ref="X28:AG30"/>
    <mergeCell ref="V33:W33"/>
    <mergeCell ref="V34:W34"/>
    <mergeCell ref="V35:W35"/>
    <mergeCell ref="V36:W36"/>
    <mergeCell ref="V37:W37"/>
    <mergeCell ref="U27:V27"/>
    <mergeCell ref="S25:W26"/>
    <mergeCell ref="V29:W29"/>
    <mergeCell ref="V30:W30"/>
    <mergeCell ref="V31:W31"/>
    <mergeCell ref="V32:W32"/>
    <mergeCell ref="T36:U36"/>
    <mergeCell ref="T37:U37"/>
    <mergeCell ref="V28:W28"/>
    <mergeCell ref="T28:U28"/>
    <mergeCell ref="T29:U29"/>
    <mergeCell ref="T30:U30"/>
    <mergeCell ref="T31:U31"/>
    <mergeCell ref="T32:U32"/>
    <mergeCell ref="T33:U33"/>
    <mergeCell ref="T34:U34"/>
    <mergeCell ref="O17:Q17"/>
    <mergeCell ref="H15:I15"/>
    <mergeCell ref="H16:I16"/>
    <mergeCell ref="H17:I17"/>
    <mergeCell ref="F21:G21"/>
    <mergeCell ref="R25:R26"/>
    <mergeCell ref="L17:N17"/>
    <mergeCell ref="J14:K14"/>
    <mergeCell ref="J15:K15"/>
    <mergeCell ref="J16:K16"/>
    <mergeCell ref="H24:I24"/>
    <mergeCell ref="J21:K21"/>
    <mergeCell ref="J22:K22"/>
    <mergeCell ref="J23:K23"/>
    <mergeCell ref="J24:K24"/>
    <mergeCell ref="L14:N14"/>
    <mergeCell ref="L15:N15"/>
    <mergeCell ref="L16:N16"/>
    <mergeCell ref="F16:G16"/>
    <mergeCell ref="F17:G17"/>
    <mergeCell ref="H14:I14"/>
    <mergeCell ref="L22:M22"/>
    <mergeCell ref="L23:M23"/>
    <mergeCell ref="F14:G14"/>
    <mergeCell ref="R37:S37"/>
    <mergeCell ref="O7:Q7"/>
    <mergeCell ref="O8:Q8"/>
    <mergeCell ref="O9:Q9"/>
    <mergeCell ref="O10:Q10"/>
    <mergeCell ref="P27:Q27"/>
    <mergeCell ref="P28:Q28"/>
    <mergeCell ref="P29:Q29"/>
    <mergeCell ref="P31:Q31"/>
    <mergeCell ref="P37:Q37"/>
    <mergeCell ref="R33:S33"/>
    <mergeCell ref="R34:S34"/>
    <mergeCell ref="R35:S35"/>
    <mergeCell ref="R36:S36"/>
    <mergeCell ref="P33:Q33"/>
    <mergeCell ref="P34:Q34"/>
    <mergeCell ref="P35:Q35"/>
    <mergeCell ref="P36:Q36"/>
    <mergeCell ref="R17:T17"/>
    <mergeCell ref="R15:T15"/>
    <mergeCell ref="O14:Q14"/>
    <mergeCell ref="O15:Q15"/>
    <mergeCell ref="R32:S32"/>
    <mergeCell ref="O16:Q16"/>
    <mergeCell ref="N35:O35"/>
    <mergeCell ref="P30:Q30"/>
    <mergeCell ref="F34:G34"/>
    <mergeCell ref="F35:G35"/>
    <mergeCell ref="H38:I38"/>
    <mergeCell ref="J35:K35"/>
    <mergeCell ref="H32:I32"/>
    <mergeCell ref="H33:I33"/>
    <mergeCell ref="H34:I34"/>
    <mergeCell ref="H35:I35"/>
    <mergeCell ref="H36:I36"/>
    <mergeCell ref="H37:I37"/>
    <mergeCell ref="J36:K36"/>
    <mergeCell ref="J37:K37"/>
    <mergeCell ref="J38:K38"/>
    <mergeCell ref="AE13:AG13"/>
    <mergeCell ref="AE14:AG14"/>
    <mergeCell ref="AE15:AG15"/>
    <mergeCell ref="AE16:AG16"/>
    <mergeCell ref="AE17:AG17"/>
    <mergeCell ref="F7:G7"/>
    <mergeCell ref="AE7:AG7"/>
    <mergeCell ref="AE8:AG8"/>
    <mergeCell ref="AE9:AG9"/>
    <mergeCell ref="AE10:AG10"/>
    <mergeCell ref="AE11:AG11"/>
    <mergeCell ref="AE12:AG12"/>
    <mergeCell ref="AC12:AD12"/>
    <mergeCell ref="AC13:AD13"/>
    <mergeCell ref="AC14:AD14"/>
    <mergeCell ref="AC15:AD15"/>
    <mergeCell ref="AC16:AD16"/>
    <mergeCell ref="AC17:AD17"/>
    <mergeCell ref="AA13:AB13"/>
    <mergeCell ref="AA14:AB14"/>
    <mergeCell ref="AA15:AB15"/>
    <mergeCell ref="AA16:AB16"/>
    <mergeCell ref="AA17:AB17"/>
    <mergeCell ref="AC7:AD7"/>
    <mergeCell ref="X13:Z13"/>
    <mergeCell ref="AA7:AB7"/>
    <mergeCell ref="AA8:AB8"/>
    <mergeCell ref="AA9:AB9"/>
    <mergeCell ref="AA10:AB10"/>
    <mergeCell ref="AA11:AB11"/>
    <mergeCell ref="AA12:AB12"/>
    <mergeCell ref="X10:Z10"/>
    <mergeCell ref="X11:Z11"/>
    <mergeCell ref="X12:Z12"/>
    <mergeCell ref="U15:W15"/>
    <mergeCell ref="U16:W16"/>
    <mergeCell ref="U17:W17"/>
    <mergeCell ref="AC8:AD8"/>
    <mergeCell ref="AC9:AD9"/>
    <mergeCell ref="AC10:AD10"/>
    <mergeCell ref="AC11:AD11"/>
    <mergeCell ref="X14:Z14"/>
    <mergeCell ref="R16:T16"/>
    <mergeCell ref="X15:Z15"/>
    <mergeCell ref="X16:Z16"/>
    <mergeCell ref="U8:W8"/>
    <mergeCell ref="U9:W9"/>
    <mergeCell ref="U10:W10"/>
    <mergeCell ref="U11:W11"/>
    <mergeCell ref="U12:W12"/>
    <mergeCell ref="U13:W13"/>
    <mergeCell ref="U14:W14"/>
    <mergeCell ref="R10:T10"/>
    <mergeCell ref="R11:T11"/>
    <mergeCell ref="R12:T12"/>
    <mergeCell ref="R13:T13"/>
    <mergeCell ref="R14:T14"/>
    <mergeCell ref="X17:Z17"/>
    <mergeCell ref="U2:X2"/>
    <mergeCell ref="F8:G8"/>
    <mergeCell ref="F9:G9"/>
    <mergeCell ref="R7:T7"/>
    <mergeCell ref="R8:T8"/>
    <mergeCell ref="R9:T9"/>
    <mergeCell ref="J7:K7"/>
    <mergeCell ref="J8:K8"/>
    <mergeCell ref="J9:K9"/>
    <mergeCell ref="X7:Z7"/>
    <mergeCell ref="X8:Z8"/>
    <mergeCell ref="X9:Z9"/>
    <mergeCell ref="H7:I7"/>
    <mergeCell ref="H8:I8"/>
    <mergeCell ref="H9:I9"/>
    <mergeCell ref="V6:W6"/>
    <mergeCell ref="L7:N7"/>
    <mergeCell ref="L8:N8"/>
    <mergeCell ref="L9:N9"/>
    <mergeCell ref="F4:G4"/>
    <mergeCell ref="L6:T6"/>
    <mergeCell ref="F2:O2"/>
    <mergeCell ref="S2:T2"/>
    <mergeCell ref="U7:W7"/>
    <mergeCell ref="F15:G15"/>
    <mergeCell ref="J11:K11"/>
    <mergeCell ref="J12:K12"/>
    <mergeCell ref="J13:K13"/>
    <mergeCell ref="J10:K10"/>
    <mergeCell ref="N21:O21"/>
    <mergeCell ref="N24:O24"/>
    <mergeCell ref="N23:O23"/>
    <mergeCell ref="N22:O22"/>
    <mergeCell ref="L11:N11"/>
    <mergeCell ref="L12:N12"/>
    <mergeCell ref="L13:N13"/>
    <mergeCell ref="O11:Q11"/>
    <mergeCell ref="O12:Q12"/>
    <mergeCell ref="O13:Q13"/>
    <mergeCell ref="L10:N10"/>
    <mergeCell ref="H10:I10"/>
    <mergeCell ref="H11:I11"/>
    <mergeCell ref="H12:I12"/>
    <mergeCell ref="H13:I13"/>
    <mergeCell ref="F10:G10"/>
    <mergeCell ref="F11:G11"/>
    <mergeCell ref="F12:G12"/>
    <mergeCell ref="F13:G13"/>
    <mergeCell ref="N40:O40"/>
    <mergeCell ref="L40:M40"/>
    <mergeCell ref="L24:M24"/>
    <mergeCell ref="J17:K17"/>
    <mergeCell ref="L21:M21"/>
    <mergeCell ref="J27:K27"/>
    <mergeCell ref="N37:O37"/>
    <mergeCell ref="N38:O38"/>
    <mergeCell ref="N27:O27"/>
    <mergeCell ref="N28:O28"/>
    <mergeCell ref="N29:O29"/>
    <mergeCell ref="N30:O30"/>
    <mergeCell ref="N31:O31"/>
    <mergeCell ref="N32:O32"/>
    <mergeCell ref="N33:O33"/>
    <mergeCell ref="N34:O34"/>
    <mergeCell ref="L34:M34"/>
    <mergeCell ref="J33:K33"/>
    <mergeCell ref="J34:K34"/>
    <mergeCell ref="L35:M35"/>
    <mergeCell ref="L36:M36"/>
    <mergeCell ref="L37:M37"/>
    <mergeCell ref="L38:M38"/>
    <mergeCell ref="N36:O36"/>
    <mergeCell ref="AA2:AF2"/>
    <mergeCell ref="T38:U38"/>
    <mergeCell ref="R38:S38"/>
    <mergeCell ref="F22:G22"/>
    <mergeCell ref="F23:G23"/>
    <mergeCell ref="F36:G36"/>
    <mergeCell ref="F37:G37"/>
    <mergeCell ref="H27:I27"/>
    <mergeCell ref="H28:I28"/>
    <mergeCell ref="H29:I29"/>
    <mergeCell ref="H30:I30"/>
    <mergeCell ref="H31:I31"/>
    <mergeCell ref="F27:G27"/>
    <mergeCell ref="F28:G28"/>
    <mergeCell ref="F29:G29"/>
    <mergeCell ref="F30:G30"/>
    <mergeCell ref="F31:G31"/>
    <mergeCell ref="F32:G32"/>
    <mergeCell ref="T35:U35"/>
    <mergeCell ref="P38:Q38"/>
    <mergeCell ref="F38:G38"/>
    <mergeCell ref="R29:S29"/>
    <mergeCell ref="R30:S30"/>
    <mergeCell ref="R31:S31"/>
  </mergeCells>
  <phoneticPr fontId="1"/>
  <dataValidations count="3">
    <dataValidation type="list" allowBlank="1" showInputMessage="1" showErrorMessage="1" sqref="J8:K18" xr:uid="{00000000-0002-0000-0000-000000000000}">
      <formula1>"該当,非該当"</formula1>
    </dataValidation>
    <dataValidation type="list" allowBlank="1" showInputMessage="1" showErrorMessage="1" sqref="U27" xr:uid="{00000000-0002-0000-0000-000001000000}">
      <formula1>"4,5,6,7,8,9,10,11,12,翌年1,翌年2,翌年3"</formula1>
    </dataValidation>
    <dataValidation type="list" allowBlank="1" showInputMessage="1" showErrorMessage="1" sqref="U6" xr:uid="{00000000-0002-0000-0000-000002000000}">
      <formula1>"1,2,3,4,5,6,7,8,9,10,11,12"</formula1>
    </dataValidation>
  </dataValidations>
  <printOptions horizontalCentered="1" verticalCentered="1"/>
  <pageMargins left="0.39370078740157483" right="0.39370078740157483" top="0.27559055118110237" bottom="0.27559055118110237" header="0.11811023622047245" footer="0.11811023622047245"/>
  <pageSetup paperSize="9" scale="89"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59B87-E24D-4D5E-8A72-A6FA5436E058}">
  <sheetPr>
    <tabColor theme="1"/>
  </sheetPr>
  <dimension ref="F1:AM56"/>
  <sheetViews>
    <sheetView view="pageBreakPreview" topLeftCell="C1" zoomScale="118" zoomScaleNormal="85" zoomScaleSheetLayoutView="85" zoomScalePageLayoutView="70" workbookViewId="0">
      <selection activeCell="H8" sqref="H8:I8"/>
    </sheetView>
  </sheetViews>
  <sheetFormatPr defaultColWidth="5" defaultRowHeight="13.5"/>
  <cols>
    <col min="1" max="4" width="5" style="107"/>
    <col min="5" max="5" width="0.875" style="107" customWidth="1"/>
    <col min="6" max="7" width="5" style="107"/>
    <col min="8" max="8" width="8.75" style="107" customWidth="1"/>
    <col min="9" max="9" width="2.125" style="107" customWidth="1"/>
    <col min="10" max="10" width="13.625" style="107" customWidth="1"/>
    <col min="11" max="11" width="1.75" style="107" customWidth="1"/>
    <col min="12" max="12" width="9.5" style="107" bestFit="1" customWidth="1"/>
    <col min="13" max="13" width="2" style="107" customWidth="1"/>
    <col min="14" max="14" width="10.5" style="107" customWidth="1"/>
    <col min="15" max="15" width="2.25" style="107" customWidth="1"/>
    <col min="16" max="16" width="8" style="107" customWidth="1"/>
    <col min="17" max="25" width="5" style="107"/>
    <col min="26" max="26" width="6.125" style="107" customWidth="1"/>
    <col min="27" max="29" width="5" style="107"/>
    <col min="30" max="31" width="5.5" style="107" customWidth="1"/>
    <col min="32" max="34" width="5" style="107"/>
    <col min="35" max="35" width="5.5" style="107" bestFit="1" customWidth="1"/>
    <col min="36" max="36" width="5" style="107"/>
    <col min="37" max="37" width="0.875" style="107" customWidth="1"/>
    <col min="38" max="38" width="5" style="107"/>
    <col min="39" max="39" width="10.5" style="107" bestFit="1" customWidth="1"/>
    <col min="40" max="16384" width="5" style="107"/>
  </cols>
  <sheetData>
    <row r="1" spans="6:39" ht="5.25" customHeight="1"/>
    <row r="2" spans="6:39" ht="23.25" customHeight="1">
      <c r="F2" s="263" t="s">
        <v>163</v>
      </c>
      <c r="G2" s="263"/>
      <c r="H2" s="263"/>
      <c r="I2" s="263"/>
      <c r="J2" s="263"/>
      <c r="K2" s="263"/>
      <c r="L2" s="263"/>
      <c r="M2" s="263"/>
      <c r="N2" s="263"/>
      <c r="O2" s="148"/>
      <c r="P2" s="148"/>
      <c r="Q2" s="118"/>
      <c r="R2" s="118"/>
      <c r="S2" s="118"/>
      <c r="T2" s="118"/>
      <c r="U2" s="118"/>
      <c r="V2" s="146" t="s">
        <v>109</v>
      </c>
      <c r="W2" s="223">
        <f>入力用!$S2</f>
        <v>2026</v>
      </c>
      <c r="X2" s="224"/>
      <c r="Y2" s="262" t="str">
        <f>IF(W2&gt;0,"（令和"&amp;DBCS(W2-2018)&amp;"年度）","年度）")</f>
        <v>（令和８年度）</v>
      </c>
      <c r="Z2" s="262"/>
    </row>
    <row r="3" spans="6:39" ht="7.5" customHeight="1" thickBot="1">
      <c r="F3" s="266"/>
      <c r="G3" s="266"/>
    </row>
    <row r="4" spans="6:39" ht="16.5" customHeight="1" thickBot="1">
      <c r="F4" s="266"/>
      <c r="G4" s="266"/>
      <c r="H4" s="117"/>
      <c r="Y4" s="267" t="s">
        <v>181</v>
      </c>
      <c r="Z4" s="268"/>
      <c r="AA4" s="268"/>
      <c r="AB4" s="268"/>
      <c r="AC4" s="269"/>
      <c r="AD4" s="278">
        <f>DATE($W2-65,1,1)</f>
        <v>22282</v>
      </c>
      <c r="AE4" s="279"/>
      <c r="AF4" s="280"/>
      <c r="AJ4" s="116"/>
    </row>
    <row r="5" spans="6:39" ht="7.5" customHeight="1">
      <c r="F5"/>
      <c r="G5" s="111"/>
      <c r="H5" s="111"/>
      <c r="I5" s="111"/>
    </row>
    <row r="6" spans="6:39" ht="18" customHeight="1">
      <c r="F6" s="110" t="s">
        <v>182</v>
      </c>
      <c r="K6" s="162"/>
      <c r="L6" s="162"/>
      <c r="M6" s="162"/>
      <c r="N6" s="162"/>
      <c r="O6" s="162"/>
      <c r="P6" s="162"/>
      <c r="Q6" s="162"/>
      <c r="R6" s="162"/>
      <c r="S6" s="162"/>
      <c r="T6" s="162"/>
      <c r="U6" s="162"/>
      <c r="V6" s="162"/>
      <c r="W6" s="162"/>
      <c r="X6" s="162"/>
      <c r="Z6" s="147"/>
      <c r="AM6" s="140">
        <v>100000</v>
      </c>
    </row>
    <row r="7" spans="6:39" s="108" customFormat="1" ht="27" customHeight="1">
      <c r="F7" s="198"/>
      <c r="G7" s="196"/>
      <c r="H7" s="196" t="s">
        <v>15</v>
      </c>
      <c r="I7" s="196"/>
      <c r="J7" s="196" t="s">
        <v>1</v>
      </c>
      <c r="K7" s="196"/>
      <c r="L7" s="196"/>
      <c r="M7" s="196" t="s">
        <v>128</v>
      </c>
      <c r="N7" s="196"/>
      <c r="O7" s="264" t="s">
        <v>167</v>
      </c>
      <c r="P7" s="265"/>
      <c r="Q7" s="196" t="s">
        <v>3</v>
      </c>
      <c r="R7" s="196"/>
      <c r="S7" s="196"/>
      <c r="T7" s="282" t="s">
        <v>164</v>
      </c>
      <c r="U7" s="283"/>
      <c r="V7" s="264" t="s">
        <v>166</v>
      </c>
      <c r="W7" s="265"/>
      <c r="X7" s="196" t="s">
        <v>4</v>
      </c>
      <c r="Y7" s="196"/>
      <c r="Z7" s="196"/>
      <c r="AA7" s="196" t="s">
        <v>162</v>
      </c>
      <c r="AB7" s="196"/>
      <c r="AC7" s="226"/>
      <c r="AD7" s="196" t="s">
        <v>165</v>
      </c>
      <c r="AE7" s="196"/>
    </row>
    <row r="8" spans="6:39" ht="18" customHeight="1">
      <c r="F8" s="192" t="s">
        <v>13</v>
      </c>
      <c r="G8" s="193"/>
      <c r="H8" s="256">
        <f>入力用!$H8</f>
        <v>0</v>
      </c>
      <c r="I8" s="256"/>
      <c r="J8" s="257">
        <f>給与所得計算!$K12</f>
        <v>0</v>
      </c>
      <c r="K8" s="257"/>
      <c r="L8" s="257"/>
      <c r="M8" s="248">
        <f t="shared" ref="M8:M16" si="0">IF(IF(J8&gt;AM$6,AM$6,J8)+IF(Q8&gt;AM$6,AM$6,Q8)&lt;AM$6,0,IF(J8&gt;AM$6,AM$6,J8)+IF(Q8&gt;AM$6,AM$6,Q8)-AM$6)</f>
        <v>0</v>
      </c>
      <c r="N8" s="248"/>
      <c r="O8" s="246">
        <f>IF(J8&gt;0,(J8-M8),0)</f>
        <v>0</v>
      </c>
      <c r="P8" s="247"/>
      <c r="Q8" s="248">
        <f>年金所得計算!K$24</f>
        <v>0</v>
      </c>
      <c r="R8" s="248"/>
      <c r="S8" s="248"/>
      <c r="T8" s="246">
        <f>_xlfn.IFS($Q8=0,0,$H8&lt;=$AD4*(AND($Q8&gt;=150000)),150000,$H8&lt;=$AD4*(AND($Q8&lt;=149999)),$Q8,TRUE,0)</f>
        <v>0</v>
      </c>
      <c r="U8" s="247"/>
      <c r="V8" s="246">
        <f>IF(Q8&gt;0,(Q8-T8),0)</f>
        <v>0</v>
      </c>
      <c r="W8" s="247"/>
      <c r="X8" s="249">
        <f>入力用!$X8</f>
        <v>0</v>
      </c>
      <c r="Y8" s="249"/>
      <c r="Z8" s="249"/>
      <c r="AA8" s="248">
        <f>IF(J8+Q8+X8-M8-T8&lt;=0,0,J8+Q8+X8-M8-T8)</f>
        <v>0</v>
      </c>
      <c r="AB8" s="248"/>
      <c r="AC8" s="250"/>
      <c r="AD8" s="258">
        <f>_xlfn.IFS(O8&gt;0,1,Q8&gt;0,1,TRUE,0)</f>
        <v>0</v>
      </c>
      <c r="AE8" s="258"/>
      <c r="AF8" s="113"/>
    </row>
    <row r="9" spans="6:39" ht="18" customHeight="1">
      <c r="F9" s="192" t="s">
        <v>14</v>
      </c>
      <c r="G9" s="193"/>
      <c r="H9" s="256">
        <f>入力用!$H9</f>
        <v>0</v>
      </c>
      <c r="I9" s="256"/>
      <c r="J9" s="257">
        <f>給与所得計算!$L12</f>
        <v>0</v>
      </c>
      <c r="K9" s="257"/>
      <c r="L9" s="257"/>
      <c r="M9" s="248">
        <f t="shared" si="0"/>
        <v>0</v>
      </c>
      <c r="N9" s="248"/>
      <c r="O9" s="246">
        <f t="shared" ref="O9:O17" si="1">IF(J9&gt;0,(J9-M9),0)</f>
        <v>0</v>
      </c>
      <c r="P9" s="247"/>
      <c r="Q9" s="248">
        <f>年金所得計算!L$24</f>
        <v>0</v>
      </c>
      <c r="R9" s="248"/>
      <c r="S9" s="248"/>
      <c r="T9" s="246">
        <f>_xlfn.IFS($Q9=0,0,$H9&lt;=$AD4*(AND($Q9&gt;=150000)),150000,$H9&lt;=$AD4*(AND($Q9&lt;=149999)),$Q9,TRUE,0)</f>
        <v>0</v>
      </c>
      <c r="U9" s="247"/>
      <c r="V9" s="246">
        <f t="shared" ref="V9:V17" si="2">IF(Q9&gt;0,(Q9-T9),0)</f>
        <v>0</v>
      </c>
      <c r="W9" s="247"/>
      <c r="X9" s="249">
        <f>入力用!$X9</f>
        <v>0</v>
      </c>
      <c r="Y9" s="249"/>
      <c r="Z9" s="249"/>
      <c r="AA9" s="248">
        <f t="shared" ref="AA9:AA17" si="3">IF(J9+Q9+X9-M9-T9&lt;=0,0,J9+Q9+X9-M9-T9)</f>
        <v>0</v>
      </c>
      <c r="AB9" s="248"/>
      <c r="AC9" s="250"/>
      <c r="AD9" s="258">
        <f t="shared" ref="AD9:AD17" si="4">_xlfn.IFS(O9&gt;0,1,Q9&gt;0,1,TRUE,0)</f>
        <v>0</v>
      </c>
      <c r="AE9" s="258"/>
      <c r="AF9" s="113"/>
    </row>
    <row r="10" spans="6:39" ht="18" customHeight="1">
      <c r="F10" s="192" t="s">
        <v>20</v>
      </c>
      <c r="G10" s="193"/>
      <c r="H10" s="256">
        <f>入力用!$H10</f>
        <v>0</v>
      </c>
      <c r="I10" s="256"/>
      <c r="J10" s="257">
        <f>給与所得計算!$M12</f>
        <v>0</v>
      </c>
      <c r="K10" s="257"/>
      <c r="L10" s="257"/>
      <c r="M10" s="248">
        <f t="shared" si="0"/>
        <v>0</v>
      </c>
      <c r="N10" s="248"/>
      <c r="O10" s="246">
        <f t="shared" si="1"/>
        <v>0</v>
      </c>
      <c r="P10" s="247"/>
      <c r="Q10" s="248">
        <f>年金所得計算!M$24</f>
        <v>0</v>
      </c>
      <c r="R10" s="248"/>
      <c r="S10" s="248"/>
      <c r="T10" s="246">
        <f>_xlfn.IFS(Q10=0,0,H10&lt;=$AD4*(AND(Q10&gt;=150000)),150000,H10&lt;=$AD4*(AND(Q10&lt;=149999)),Q10,TRUE,0)</f>
        <v>0</v>
      </c>
      <c r="U10" s="247"/>
      <c r="V10" s="246">
        <f t="shared" si="2"/>
        <v>0</v>
      </c>
      <c r="W10" s="247"/>
      <c r="X10" s="249">
        <f>入力用!$X10</f>
        <v>0</v>
      </c>
      <c r="Y10" s="249"/>
      <c r="Z10" s="249"/>
      <c r="AA10" s="248">
        <f t="shared" si="3"/>
        <v>0</v>
      </c>
      <c r="AB10" s="248"/>
      <c r="AC10" s="250"/>
      <c r="AD10" s="258">
        <f t="shared" si="4"/>
        <v>0</v>
      </c>
      <c r="AE10" s="258"/>
      <c r="AF10" s="113"/>
    </row>
    <row r="11" spans="6:39" ht="18" customHeight="1">
      <c r="F11" s="192" t="s">
        <v>21</v>
      </c>
      <c r="G11" s="193"/>
      <c r="H11" s="256">
        <f>入力用!$H11</f>
        <v>0</v>
      </c>
      <c r="I11" s="256"/>
      <c r="J11" s="257">
        <f>給与所得計算!$N12</f>
        <v>0</v>
      </c>
      <c r="K11" s="257"/>
      <c r="L11" s="257"/>
      <c r="M11" s="248">
        <f t="shared" si="0"/>
        <v>0</v>
      </c>
      <c r="N11" s="248"/>
      <c r="O11" s="246">
        <f t="shared" si="1"/>
        <v>0</v>
      </c>
      <c r="P11" s="247"/>
      <c r="Q11" s="248">
        <f>年金所得計算!N$24</f>
        <v>0</v>
      </c>
      <c r="R11" s="248"/>
      <c r="S11" s="248"/>
      <c r="T11" s="246">
        <f>_xlfn.IFS(Q11=0,0,H11&lt;=$AD4*(AND(Q11&gt;=150000)),150000,H11&lt;=$AD4*(AND(Q11&lt;=149999)),Q11,TRUE,0)</f>
        <v>0</v>
      </c>
      <c r="U11" s="247"/>
      <c r="V11" s="246">
        <f t="shared" si="2"/>
        <v>0</v>
      </c>
      <c r="W11" s="247"/>
      <c r="X11" s="249">
        <f>入力用!$X11</f>
        <v>0</v>
      </c>
      <c r="Y11" s="249"/>
      <c r="Z11" s="249"/>
      <c r="AA11" s="248">
        <f t="shared" si="3"/>
        <v>0</v>
      </c>
      <c r="AB11" s="248"/>
      <c r="AC11" s="250"/>
      <c r="AD11" s="258">
        <f t="shared" si="4"/>
        <v>0</v>
      </c>
      <c r="AE11" s="258"/>
      <c r="AF11" s="113"/>
    </row>
    <row r="12" spans="6:39" ht="18" customHeight="1">
      <c r="F12" s="192" t="s">
        <v>22</v>
      </c>
      <c r="G12" s="193"/>
      <c r="H12" s="256">
        <f>入力用!$H12</f>
        <v>0</v>
      </c>
      <c r="I12" s="256"/>
      <c r="J12" s="257">
        <f>給与所得計算!$O12</f>
        <v>0</v>
      </c>
      <c r="K12" s="257"/>
      <c r="L12" s="257"/>
      <c r="M12" s="248">
        <f t="shared" si="0"/>
        <v>0</v>
      </c>
      <c r="N12" s="248"/>
      <c r="O12" s="246">
        <f t="shared" si="1"/>
        <v>0</v>
      </c>
      <c r="P12" s="247"/>
      <c r="Q12" s="248">
        <f>年金所得計算!O$24</f>
        <v>0</v>
      </c>
      <c r="R12" s="248"/>
      <c r="S12" s="248"/>
      <c r="T12" s="246">
        <f>_xlfn.IFS(Q12=0,0,H12&lt;=$AD4*(AND(Q12&gt;=150000)),150000,H12&lt;=$AD4*(AND(Q12&lt;=149999)),Q12,TRUE,0)</f>
        <v>0</v>
      </c>
      <c r="U12" s="247"/>
      <c r="V12" s="246">
        <f t="shared" si="2"/>
        <v>0</v>
      </c>
      <c r="W12" s="247"/>
      <c r="X12" s="249">
        <f>入力用!$X12</f>
        <v>0</v>
      </c>
      <c r="Y12" s="249"/>
      <c r="Z12" s="249"/>
      <c r="AA12" s="248">
        <f t="shared" si="3"/>
        <v>0</v>
      </c>
      <c r="AB12" s="248"/>
      <c r="AC12" s="250"/>
      <c r="AD12" s="258">
        <f t="shared" si="4"/>
        <v>0</v>
      </c>
      <c r="AE12" s="258"/>
      <c r="AF12" s="113"/>
    </row>
    <row r="13" spans="6:39" ht="18" customHeight="1">
      <c r="F13" s="192" t="s">
        <v>68</v>
      </c>
      <c r="G13" s="193"/>
      <c r="H13" s="256">
        <f>入力用!$H13</f>
        <v>0</v>
      </c>
      <c r="I13" s="256"/>
      <c r="J13" s="257">
        <f>給与所得計算!$P12</f>
        <v>0</v>
      </c>
      <c r="K13" s="257"/>
      <c r="L13" s="257"/>
      <c r="M13" s="248">
        <f t="shared" si="0"/>
        <v>0</v>
      </c>
      <c r="N13" s="248"/>
      <c r="O13" s="246">
        <f t="shared" si="1"/>
        <v>0</v>
      </c>
      <c r="P13" s="247"/>
      <c r="Q13" s="248">
        <f>年金所得計算!P$24</f>
        <v>0</v>
      </c>
      <c r="R13" s="248"/>
      <c r="S13" s="248"/>
      <c r="T13" s="246">
        <f>_xlfn.IFS(Q13=0,0,H13&lt;=$AD4*(AND(Q13&gt;=150000)),150000,H13&lt;=$AD4*(AND(Q13&lt;=149999)),Q13,TRUE,0)</f>
        <v>0</v>
      </c>
      <c r="U13" s="247"/>
      <c r="V13" s="246">
        <f t="shared" si="2"/>
        <v>0</v>
      </c>
      <c r="W13" s="247"/>
      <c r="X13" s="249">
        <f>入力用!$X13</f>
        <v>0</v>
      </c>
      <c r="Y13" s="249"/>
      <c r="Z13" s="249"/>
      <c r="AA13" s="248">
        <f t="shared" si="3"/>
        <v>0</v>
      </c>
      <c r="AB13" s="248"/>
      <c r="AC13" s="250"/>
      <c r="AD13" s="258">
        <f t="shared" si="4"/>
        <v>0</v>
      </c>
      <c r="AE13" s="258"/>
      <c r="AF13" s="113"/>
    </row>
    <row r="14" spans="6:39" ht="18" customHeight="1">
      <c r="F14" s="192" t="s">
        <v>69</v>
      </c>
      <c r="G14" s="193"/>
      <c r="H14" s="256">
        <f>入力用!$H14</f>
        <v>0</v>
      </c>
      <c r="I14" s="256"/>
      <c r="J14" s="257">
        <f>給与所得計算!$Q12</f>
        <v>0</v>
      </c>
      <c r="K14" s="257"/>
      <c r="L14" s="257"/>
      <c r="M14" s="248">
        <f t="shared" si="0"/>
        <v>0</v>
      </c>
      <c r="N14" s="248"/>
      <c r="O14" s="246">
        <f t="shared" si="1"/>
        <v>0</v>
      </c>
      <c r="P14" s="247"/>
      <c r="Q14" s="248">
        <f>年金所得計算!Q$24</f>
        <v>0</v>
      </c>
      <c r="R14" s="248"/>
      <c r="S14" s="248"/>
      <c r="T14" s="246">
        <f>_xlfn.IFS(Q14=0,0,H14&lt;=$AD4*(AND(Q14&gt;=150000)),150000,H14&lt;=$AD4*(AND(Q14&lt;=149999)),Q14,TRUE,0)</f>
        <v>0</v>
      </c>
      <c r="U14" s="247"/>
      <c r="V14" s="246">
        <f t="shared" si="2"/>
        <v>0</v>
      </c>
      <c r="W14" s="247"/>
      <c r="X14" s="249">
        <f>入力用!$X14</f>
        <v>0</v>
      </c>
      <c r="Y14" s="249"/>
      <c r="Z14" s="249"/>
      <c r="AA14" s="248">
        <f t="shared" si="3"/>
        <v>0</v>
      </c>
      <c r="AB14" s="248"/>
      <c r="AC14" s="250"/>
      <c r="AD14" s="258">
        <f t="shared" si="4"/>
        <v>0</v>
      </c>
      <c r="AE14" s="258"/>
      <c r="AF14" s="113"/>
    </row>
    <row r="15" spans="6:39" ht="18" customHeight="1">
      <c r="F15" s="192" t="s">
        <v>70</v>
      </c>
      <c r="G15" s="193"/>
      <c r="H15" s="256">
        <f>入力用!$H15</f>
        <v>0</v>
      </c>
      <c r="I15" s="256"/>
      <c r="J15" s="257">
        <f>給与所得計算!$R12</f>
        <v>0</v>
      </c>
      <c r="K15" s="257"/>
      <c r="L15" s="257"/>
      <c r="M15" s="248">
        <f t="shared" si="0"/>
        <v>0</v>
      </c>
      <c r="N15" s="248"/>
      <c r="O15" s="246">
        <f t="shared" si="1"/>
        <v>0</v>
      </c>
      <c r="P15" s="247"/>
      <c r="Q15" s="248">
        <f>年金所得計算!R$24</f>
        <v>0</v>
      </c>
      <c r="R15" s="248"/>
      <c r="S15" s="248"/>
      <c r="T15" s="246">
        <f>_xlfn.IFS(Q15=0,0,H15&lt;=$AD4*(AND(Q15&gt;=150000)),150000,H15&lt;=$AD4*(AND(Q15&lt;=149999)),Q15,TRUE,0)</f>
        <v>0</v>
      </c>
      <c r="U15" s="247"/>
      <c r="V15" s="246">
        <f t="shared" si="2"/>
        <v>0</v>
      </c>
      <c r="W15" s="247"/>
      <c r="X15" s="249">
        <f>入力用!$X15</f>
        <v>0</v>
      </c>
      <c r="Y15" s="249"/>
      <c r="Z15" s="249"/>
      <c r="AA15" s="248">
        <f t="shared" si="3"/>
        <v>0</v>
      </c>
      <c r="AB15" s="248"/>
      <c r="AC15" s="250"/>
      <c r="AD15" s="258">
        <f t="shared" si="4"/>
        <v>0</v>
      </c>
      <c r="AE15" s="258"/>
      <c r="AF15" s="113"/>
    </row>
    <row r="16" spans="6:39" ht="18" customHeight="1">
      <c r="F16" s="192" t="s">
        <v>71</v>
      </c>
      <c r="G16" s="193"/>
      <c r="H16" s="256">
        <f>入力用!$H16</f>
        <v>0</v>
      </c>
      <c r="I16" s="256"/>
      <c r="J16" s="257">
        <f>給与所得計算!$S12</f>
        <v>0</v>
      </c>
      <c r="K16" s="257"/>
      <c r="L16" s="257"/>
      <c r="M16" s="248">
        <f t="shared" si="0"/>
        <v>0</v>
      </c>
      <c r="N16" s="248"/>
      <c r="O16" s="246">
        <f t="shared" si="1"/>
        <v>0</v>
      </c>
      <c r="P16" s="247"/>
      <c r="Q16" s="248">
        <f>年金所得計算!S$24</f>
        <v>0</v>
      </c>
      <c r="R16" s="248"/>
      <c r="S16" s="248"/>
      <c r="T16" s="246">
        <f>_xlfn.IFS(Q16=0,0,H16&lt;=$AD4*(AND(Q16&gt;=150000)),150000,H16&lt;=$AD4*(AND(Q16&lt;=149999)),Q16,TRUE,0)</f>
        <v>0</v>
      </c>
      <c r="U16" s="247"/>
      <c r="V16" s="246">
        <f t="shared" si="2"/>
        <v>0</v>
      </c>
      <c r="W16" s="247"/>
      <c r="X16" s="249">
        <f>入力用!$X16</f>
        <v>0</v>
      </c>
      <c r="Y16" s="249"/>
      <c r="Z16" s="249"/>
      <c r="AA16" s="248">
        <f t="shared" si="3"/>
        <v>0</v>
      </c>
      <c r="AB16" s="248"/>
      <c r="AC16" s="250"/>
      <c r="AD16" s="258">
        <f t="shared" si="4"/>
        <v>0</v>
      </c>
      <c r="AE16" s="258"/>
      <c r="AF16" s="113"/>
    </row>
    <row r="17" spans="6:37" ht="18" customHeight="1">
      <c r="F17" s="192" t="s">
        <v>72</v>
      </c>
      <c r="G17" s="193"/>
      <c r="H17" s="256">
        <f>入力用!$H17</f>
        <v>0</v>
      </c>
      <c r="I17" s="256"/>
      <c r="J17" s="257">
        <f>給与所得計算!$T12</f>
        <v>0</v>
      </c>
      <c r="K17" s="257"/>
      <c r="L17" s="257"/>
      <c r="M17" s="248">
        <f>IF(IF(J17&gt;AM$6,AM$6,J17)+IF(Q17&gt;AM$6,AM$6,Q17)&lt;AM$6,0,IF(J17&gt;AM$6,AM$6,J17)+IF(Q17&gt;AM$6,AM$6,Q17)-AM$6)</f>
        <v>0</v>
      </c>
      <c r="N17" s="248"/>
      <c r="O17" s="246">
        <f t="shared" si="1"/>
        <v>0</v>
      </c>
      <c r="P17" s="247"/>
      <c r="Q17" s="248">
        <f>年金所得計算!T$24</f>
        <v>0</v>
      </c>
      <c r="R17" s="248"/>
      <c r="S17" s="248"/>
      <c r="T17" s="246">
        <f>_xlfn.IFS(Q17=0,0,H17&lt;=$AD4*(AND(Q17&gt;=150000)),150000,H17&lt;=$AD4*(AND(Q17&lt;=149999)),Q17,TRUE,0)</f>
        <v>0</v>
      </c>
      <c r="U17" s="247"/>
      <c r="V17" s="246">
        <f t="shared" si="2"/>
        <v>0</v>
      </c>
      <c r="W17" s="247"/>
      <c r="X17" s="249">
        <f>入力用!$X17</f>
        <v>0</v>
      </c>
      <c r="Y17" s="249"/>
      <c r="Z17" s="249"/>
      <c r="AA17" s="248">
        <f t="shared" si="3"/>
        <v>0</v>
      </c>
      <c r="AB17" s="248"/>
      <c r="AC17" s="250"/>
      <c r="AD17" s="258">
        <f t="shared" si="4"/>
        <v>0</v>
      </c>
      <c r="AE17" s="258"/>
      <c r="AF17" s="113"/>
    </row>
    <row r="18" spans="6:37" ht="18" customHeight="1">
      <c r="F18" s="192" t="s">
        <v>183</v>
      </c>
      <c r="G18" s="193"/>
      <c r="H18" s="256">
        <f>入力用!$H18</f>
        <v>0</v>
      </c>
      <c r="I18" s="256"/>
      <c r="J18" s="257">
        <f>給与所得計算!$U12</f>
        <v>0</v>
      </c>
      <c r="K18" s="257"/>
      <c r="L18" s="257"/>
      <c r="M18" s="248">
        <f>IF(IF(J18&gt;AM$6,AM$6,J18)+IF(Q18&gt;AM$6,AM$6,Q18)&lt;AM$6,0,IF(J18&gt;AM$6,AM$6,J18)+IF(Q18&gt;AM$6,AM$6,Q18)-AM$6)</f>
        <v>0</v>
      </c>
      <c r="N18" s="248"/>
      <c r="O18" s="246">
        <f>IF(J18&gt;0,(J18-M18),0)</f>
        <v>0</v>
      </c>
      <c r="P18" s="247"/>
      <c r="Q18" s="248">
        <f>年金所得計算!U$24</f>
        <v>0</v>
      </c>
      <c r="R18" s="248"/>
      <c r="S18" s="248"/>
      <c r="T18" s="246">
        <f>_xlfn.IFS(Q18=0,0,H18&lt;=$AD5*(AND(Q18&gt;=150000)),150000,H18&lt;=$AD5*(AND(Q18&lt;=149999)),Q18,TRUE,0)</f>
        <v>0</v>
      </c>
      <c r="U18" s="247"/>
      <c r="V18" s="246">
        <f>IF(Q18&gt;0,(Q18-T18),0)</f>
        <v>0</v>
      </c>
      <c r="W18" s="247"/>
      <c r="X18" s="249">
        <f>入力用!$X18</f>
        <v>0</v>
      </c>
      <c r="Y18" s="249"/>
      <c r="Z18" s="249"/>
      <c r="AA18" s="248">
        <f t="shared" ref="AA18" si="5">IF(J18+Q18+X18-M18-T18&lt;=0,0,J18+Q18+X18-M18-T18)</f>
        <v>0</v>
      </c>
      <c r="AB18" s="248"/>
      <c r="AC18" s="250"/>
      <c r="AD18" s="258">
        <f>_xlfn.IFS(O18&gt;0,1,Q18&gt;0,1,TRUE,0)</f>
        <v>0</v>
      </c>
      <c r="AE18" s="258"/>
    </row>
    <row r="19" spans="6:37" ht="17.25" customHeight="1">
      <c r="AF19" s="133"/>
      <c r="AG19" s="133"/>
      <c r="AH19" s="133"/>
      <c r="AI19" s="133"/>
      <c r="AJ19" s="133"/>
    </row>
    <row r="20" spans="6:37" ht="23.25" customHeight="1">
      <c r="F20" s="110" t="s">
        <v>179</v>
      </c>
      <c r="Y20" s="259" t="s">
        <v>170</v>
      </c>
      <c r="Z20" s="259"/>
      <c r="AA20" s="252" t="s">
        <v>169</v>
      </c>
      <c r="AB20" s="253"/>
      <c r="AC20" s="253"/>
      <c r="AD20" s="260" t="s">
        <v>168</v>
      </c>
      <c r="AE20" s="261"/>
    </row>
    <row r="21" spans="6:37" ht="22.5" customHeight="1">
      <c r="F21" s="227"/>
      <c r="G21" s="228"/>
      <c r="H21" s="193" t="s">
        <v>174</v>
      </c>
      <c r="I21" s="193"/>
      <c r="J21" s="193" t="s">
        <v>175</v>
      </c>
      <c r="K21" s="193"/>
      <c r="L21" s="196" t="s">
        <v>177</v>
      </c>
      <c r="M21" s="193"/>
      <c r="N21" s="196" t="s">
        <v>201</v>
      </c>
      <c r="O21" s="193"/>
      <c r="P21" s="193" t="s">
        <v>176</v>
      </c>
      <c r="Q21" s="239"/>
      <c r="R21" s="154"/>
      <c r="S21" s="154"/>
      <c r="T21" s="154"/>
      <c r="U21" s="154"/>
      <c r="Y21" s="255">
        <f>COUNTA(入力用!$H8:$H17)</f>
        <v>0</v>
      </c>
      <c r="Z21" s="255"/>
      <c r="AA21" s="254">
        <f>SUM($AA8:$AC18)</f>
        <v>0</v>
      </c>
      <c r="AB21" s="255"/>
      <c r="AC21" s="255"/>
      <c r="AD21" s="255">
        <f>IF(SUM(AD8:AE18)&gt;1,SUM(AD8:AE18),1)</f>
        <v>1</v>
      </c>
      <c r="AE21" s="255"/>
      <c r="AF21" s="126"/>
      <c r="AG21" s="126"/>
      <c r="AH21" s="126"/>
      <c r="AI21" s="126"/>
      <c r="AJ21" s="126"/>
    </row>
    <row r="22" spans="6:37" ht="21" customHeight="1">
      <c r="F22" s="198" t="s">
        <v>180</v>
      </c>
      <c r="G22" s="193"/>
      <c r="H22" s="251">
        <f>税額計算!$F5</f>
        <v>44800</v>
      </c>
      <c r="I22" s="251"/>
      <c r="J22" s="251">
        <f>税額計算!$G5</f>
        <v>16200</v>
      </c>
      <c r="K22" s="251"/>
      <c r="L22" s="251">
        <f>税額計算!$H5</f>
        <v>16400</v>
      </c>
      <c r="M22" s="251"/>
      <c r="N22" s="251">
        <v>1400</v>
      </c>
      <c r="O22" s="251"/>
      <c r="P22" s="271">
        <f>SUM(H22:O22)</f>
        <v>78800</v>
      </c>
      <c r="Q22" s="272"/>
      <c r="R22" s="152"/>
      <c r="S22" s="152"/>
      <c r="T22" s="152"/>
      <c r="U22" s="152"/>
      <c r="AA22" s="126"/>
      <c r="AB22" s="126"/>
      <c r="AC22" s="126"/>
      <c r="AD22" s="126"/>
      <c r="AE22" s="126"/>
      <c r="AF22" s="149"/>
      <c r="AG22" s="149"/>
      <c r="AH22" s="149"/>
      <c r="AI22" s="149"/>
      <c r="AJ22" s="149"/>
    </row>
    <row r="23" spans="6:37" ht="16.5" customHeight="1">
      <c r="F23" s="192" t="s">
        <v>173</v>
      </c>
      <c r="G23" s="193"/>
      <c r="H23" s="251">
        <f>H22*0.3</f>
        <v>13440</v>
      </c>
      <c r="I23" s="251"/>
      <c r="J23" s="251">
        <f>J22*0.3</f>
        <v>4860</v>
      </c>
      <c r="K23" s="251"/>
      <c r="L23" s="251">
        <f>L22*0.3</f>
        <v>4920</v>
      </c>
      <c r="M23" s="251"/>
      <c r="N23" s="251">
        <f>N22*0.3</f>
        <v>420</v>
      </c>
      <c r="O23" s="251"/>
      <c r="P23" s="271">
        <f>SUM(H23:O23)</f>
        <v>23640</v>
      </c>
      <c r="Q23" s="272"/>
      <c r="R23" s="153"/>
      <c r="S23" s="153"/>
      <c r="T23" s="153"/>
      <c r="U23" s="153"/>
      <c r="AA23" s="149"/>
      <c r="AB23" s="149"/>
      <c r="AC23" s="149"/>
      <c r="AD23" s="149"/>
      <c r="AE23" s="149"/>
      <c r="AF23" s="149"/>
      <c r="AG23" s="149"/>
      <c r="AH23" s="149"/>
      <c r="AI23" s="149"/>
      <c r="AJ23" s="149"/>
    </row>
    <row r="24" spans="6:37" ht="16.5" customHeight="1">
      <c r="F24" s="192" t="s">
        <v>172</v>
      </c>
      <c r="G24" s="193"/>
      <c r="H24" s="251">
        <f>H22*0.5</f>
        <v>22400</v>
      </c>
      <c r="I24" s="251"/>
      <c r="J24" s="251">
        <f t="shared" ref="J24" si="6">J22*0.5</f>
        <v>8100</v>
      </c>
      <c r="K24" s="251"/>
      <c r="L24" s="251">
        <f t="shared" ref="L24" si="7">L22*0.5</f>
        <v>8200</v>
      </c>
      <c r="M24" s="251"/>
      <c r="N24" s="251">
        <f>N22*0.5</f>
        <v>700</v>
      </c>
      <c r="O24" s="251"/>
      <c r="P24" s="271">
        <f>SUM(H24:O24)</f>
        <v>39400</v>
      </c>
      <c r="Q24" s="272"/>
      <c r="R24" s="153"/>
      <c r="S24" s="153"/>
      <c r="T24" s="153"/>
      <c r="U24" s="153"/>
      <c r="AA24" s="149"/>
      <c r="AB24" s="149"/>
      <c r="AC24" s="149"/>
      <c r="AD24" s="149"/>
      <c r="AE24" s="149"/>
      <c r="AF24" s="149"/>
      <c r="AG24" s="149"/>
      <c r="AH24" s="149"/>
      <c r="AI24" s="149"/>
      <c r="AJ24" s="149"/>
    </row>
    <row r="25" spans="6:37">
      <c r="F25" s="192" t="s">
        <v>178</v>
      </c>
      <c r="G25" s="193"/>
      <c r="H25" s="251">
        <f>H22*0.8</f>
        <v>35840</v>
      </c>
      <c r="I25" s="251"/>
      <c r="J25" s="251">
        <f t="shared" ref="J25" si="8">J22*0.8</f>
        <v>12960</v>
      </c>
      <c r="K25" s="251"/>
      <c r="L25" s="251">
        <f t="shared" ref="L25" si="9">L22*0.8</f>
        <v>13120</v>
      </c>
      <c r="M25" s="251"/>
      <c r="N25" s="251">
        <f>N22*0.8</f>
        <v>1120</v>
      </c>
      <c r="O25" s="251"/>
      <c r="P25" s="271">
        <f>SUM(H25:O25)</f>
        <v>63040</v>
      </c>
      <c r="Q25" s="272"/>
      <c r="R25" s="153"/>
      <c r="S25" s="153"/>
      <c r="T25" s="153"/>
      <c r="U25" s="153"/>
      <c r="V25" s="151"/>
      <c r="W25" s="151"/>
      <c r="X25" s="151"/>
      <c r="Y25" s="151"/>
      <c r="Z25" s="151"/>
      <c r="AA25" s="149"/>
      <c r="AB25" s="149"/>
      <c r="AC25" s="149"/>
      <c r="AD25" s="149"/>
      <c r="AE25" s="149"/>
      <c r="AF25" s="149"/>
      <c r="AG25" s="149"/>
      <c r="AH25" s="149"/>
      <c r="AI25" s="149"/>
      <c r="AJ25" s="149"/>
    </row>
    <row r="26" spans="6:37" ht="18" customHeight="1">
      <c r="F26" s="110"/>
      <c r="I26" s="146"/>
      <c r="J26" s="118"/>
      <c r="M26" s="112"/>
      <c r="Q26" s="151"/>
      <c r="R26" s="151"/>
      <c r="S26" s="151"/>
      <c r="T26" s="151"/>
      <c r="U26" s="151"/>
      <c r="V26" s="151"/>
      <c r="W26" s="151"/>
      <c r="X26" s="151"/>
      <c r="Y26" s="151"/>
      <c r="Z26" s="151"/>
      <c r="AA26" s="149"/>
      <c r="AB26" s="149"/>
      <c r="AC26" s="149"/>
      <c r="AD26" s="149"/>
      <c r="AE26" s="149"/>
      <c r="AF26" s="149"/>
      <c r="AG26" s="149"/>
      <c r="AH26" s="149"/>
      <c r="AI26" s="149"/>
      <c r="AJ26" s="149"/>
      <c r="AK26" s="149"/>
    </row>
    <row r="27" spans="6:37" ht="18" customHeight="1">
      <c r="F27" s="167" t="s">
        <v>187</v>
      </c>
      <c r="G27" s="166"/>
      <c r="H27" s="166"/>
      <c r="I27" s="166"/>
      <c r="J27" s="166"/>
      <c r="K27" s="166"/>
      <c r="L27" s="166"/>
      <c r="M27" s="166"/>
      <c r="N27" s="155"/>
      <c r="O27" s="155"/>
      <c r="P27" s="155"/>
      <c r="Q27" s="156"/>
      <c r="R27" s="156"/>
      <c r="S27" s="156"/>
      <c r="T27" s="156"/>
      <c r="U27" s="156"/>
      <c r="V27" s="157" t="s">
        <v>171</v>
      </c>
      <c r="W27" s="157"/>
      <c r="X27" s="157"/>
      <c r="Y27" s="270">
        <f>_xlfn.IFS($AA21&lt;=(430000+100000*(AD21-1)),0.3,$AA21&lt;=(430000+P29*Y21+100000*(AD21-1)),0.5,$AA21&lt;=(430000+P30*Y21+100000*(AD21-1)),0.8,TRUE,1)</f>
        <v>0.3</v>
      </c>
      <c r="Z27" s="270"/>
      <c r="AA27" s="149"/>
      <c r="AB27" s="149"/>
      <c r="AC27" s="149"/>
      <c r="AD27" s="149"/>
      <c r="AE27" s="149"/>
      <c r="AF27" s="149"/>
      <c r="AG27" s="149"/>
      <c r="AH27" s="149"/>
      <c r="AI27" s="149"/>
      <c r="AJ27" s="149"/>
    </row>
    <row r="28" spans="6:37" ht="18" customHeight="1">
      <c r="F28" s="273" t="s">
        <v>188</v>
      </c>
      <c r="G28" s="274"/>
      <c r="H28" s="180">
        <v>430000</v>
      </c>
      <c r="I28" s="168" t="s">
        <v>193</v>
      </c>
      <c r="J28" s="169" t="s">
        <v>192</v>
      </c>
      <c r="K28" s="168" t="s">
        <v>191</v>
      </c>
      <c r="L28" s="178">
        <v>100000</v>
      </c>
      <c r="M28" s="168"/>
      <c r="N28" s="170"/>
      <c r="O28" s="170"/>
      <c r="P28" s="171"/>
      <c r="Q28" s="157"/>
      <c r="R28" s="157"/>
      <c r="S28" s="157"/>
      <c r="T28" s="157"/>
      <c r="U28" s="157"/>
      <c r="V28" s="157"/>
      <c r="W28" s="157"/>
      <c r="X28" s="157"/>
      <c r="Y28" s="270" t="str">
        <f>税額計算!J4</f>
        <v>７割軽減</v>
      </c>
      <c r="Z28" s="270"/>
      <c r="AA28" s="149"/>
      <c r="AB28" s="149"/>
      <c r="AC28" s="149"/>
      <c r="AD28" s="149"/>
      <c r="AE28" s="149"/>
      <c r="AF28" s="149"/>
      <c r="AG28" s="149"/>
      <c r="AH28" s="149"/>
      <c r="AI28" s="149"/>
      <c r="AJ28" s="149"/>
    </row>
    <row r="29" spans="6:37" ht="18" customHeight="1">
      <c r="F29" s="273" t="s">
        <v>189</v>
      </c>
      <c r="G29" s="274"/>
      <c r="H29" s="180">
        <f>H28</f>
        <v>430000</v>
      </c>
      <c r="I29" s="168" t="s">
        <v>193</v>
      </c>
      <c r="J29" s="169" t="s">
        <v>192</v>
      </c>
      <c r="K29" s="168" t="s">
        <v>191</v>
      </c>
      <c r="L29" s="178">
        <f>L28</f>
        <v>100000</v>
      </c>
      <c r="M29" s="168" t="s">
        <v>193</v>
      </c>
      <c r="N29" s="172" t="s">
        <v>195</v>
      </c>
      <c r="O29" s="168" t="s">
        <v>191</v>
      </c>
      <c r="P29" s="176">
        <v>310000</v>
      </c>
      <c r="Q29" s="160"/>
      <c r="R29" s="160"/>
      <c r="S29" s="160"/>
      <c r="T29" s="160"/>
      <c r="U29" s="160"/>
      <c r="V29" s="160"/>
      <c r="W29" s="157"/>
      <c r="X29" s="157"/>
      <c r="Y29" s="157"/>
      <c r="Z29" s="157"/>
      <c r="AA29" s="149"/>
      <c r="AB29" s="149"/>
      <c r="AC29" s="149"/>
      <c r="AD29" s="149"/>
      <c r="AE29" s="149"/>
      <c r="AF29" s="149"/>
      <c r="AG29" s="149"/>
      <c r="AH29" s="149"/>
      <c r="AI29" s="149"/>
      <c r="AJ29" s="149"/>
    </row>
    <row r="30" spans="6:37" ht="18" customHeight="1">
      <c r="F30" s="273" t="s">
        <v>190</v>
      </c>
      <c r="G30" s="274"/>
      <c r="H30" s="181">
        <f>H28</f>
        <v>430000</v>
      </c>
      <c r="I30" s="173" t="s">
        <v>193</v>
      </c>
      <c r="J30" s="174" t="s">
        <v>192</v>
      </c>
      <c r="K30" s="173" t="s">
        <v>191</v>
      </c>
      <c r="L30" s="179">
        <f>L28</f>
        <v>100000</v>
      </c>
      <c r="M30" s="173" t="s">
        <v>193</v>
      </c>
      <c r="N30" s="175" t="s">
        <v>194</v>
      </c>
      <c r="O30" s="173" t="s">
        <v>191</v>
      </c>
      <c r="P30" s="177">
        <v>570000</v>
      </c>
      <c r="Q30" s="160"/>
      <c r="R30" s="160"/>
      <c r="S30" s="160"/>
      <c r="T30" s="160"/>
      <c r="U30" s="160"/>
      <c r="V30" s="160"/>
      <c r="W30" s="275"/>
      <c r="X30" s="275"/>
      <c r="Y30" s="276"/>
      <c r="Z30" s="276"/>
      <c r="AA30" s="149"/>
      <c r="AB30" s="149"/>
      <c r="AC30" s="149"/>
      <c r="AD30" s="149"/>
      <c r="AE30" s="149"/>
      <c r="AF30" s="129"/>
      <c r="AG30" s="129"/>
      <c r="AH30" s="129"/>
      <c r="AI30" s="129"/>
      <c r="AJ30" s="129"/>
    </row>
    <row r="31" spans="6:37" ht="18" customHeight="1">
      <c r="F31" s="157"/>
      <c r="G31" s="157"/>
      <c r="H31" s="157"/>
      <c r="I31" s="157"/>
      <c r="J31" s="160"/>
      <c r="K31" s="160"/>
      <c r="L31" s="160"/>
      <c r="M31" s="160"/>
      <c r="N31" s="160"/>
      <c r="O31" s="160"/>
      <c r="P31" s="160"/>
      <c r="Q31" s="160"/>
      <c r="R31" s="160"/>
      <c r="S31" s="160"/>
      <c r="T31" s="160"/>
      <c r="U31" s="160"/>
      <c r="V31" s="160"/>
      <c r="W31" s="275"/>
      <c r="X31" s="275"/>
      <c r="Y31" s="276"/>
      <c r="Z31" s="276"/>
      <c r="AA31" s="129"/>
      <c r="AB31" s="129"/>
      <c r="AC31" s="129"/>
      <c r="AD31" s="129"/>
      <c r="AE31" s="129"/>
      <c r="AF31" s="126"/>
      <c r="AG31" s="126"/>
      <c r="AH31" s="126"/>
      <c r="AI31" s="126"/>
      <c r="AJ31" s="126"/>
    </row>
    <row r="32" spans="6:37" ht="18" customHeight="1">
      <c r="F32" s="157"/>
      <c r="G32" s="157"/>
      <c r="H32" s="157"/>
      <c r="I32" s="157"/>
      <c r="J32" s="160"/>
      <c r="K32" s="160"/>
      <c r="L32" s="160"/>
      <c r="M32" s="160"/>
      <c r="N32" s="160"/>
      <c r="O32" s="160"/>
      <c r="P32" s="160"/>
      <c r="Q32" s="160"/>
      <c r="R32" s="160"/>
      <c r="S32" s="160"/>
      <c r="T32" s="160"/>
      <c r="U32" s="160"/>
      <c r="V32" s="160"/>
      <c r="W32" s="275"/>
      <c r="X32" s="275"/>
      <c r="Y32" s="276"/>
      <c r="Z32" s="276"/>
      <c r="AA32" s="126"/>
      <c r="AB32" s="126"/>
      <c r="AC32" s="126"/>
      <c r="AD32" s="126"/>
      <c r="AE32" s="126"/>
      <c r="AF32" s="126"/>
      <c r="AG32" s="126"/>
      <c r="AH32" s="126"/>
      <c r="AI32" s="126"/>
      <c r="AJ32" s="126"/>
    </row>
    <row r="33" spans="6:36" ht="18" customHeight="1">
      <c r="F33" s="157"/>
      <c r="G33" s="157"/>
      <c r="H33" s="157"/>
      <c r="I33" s="157"/>
      <c r="J33" s="160"/>
      <c r="K33" s="160"/>
      <c r="L33" s="160"/>
      <c r="M33" s="160"/>
      <c r="N33" s="160"/>
      <c r="O33" s="160"/>
      <c r="P33" s="160"/>
      <c r="Q33" s="160"/>
      <c r="R33" s="160"/>
      <c r="S33" s="160"/>
      <c r="T33" s="160"/>
      <c r="U33" s="160"/>
      <c r="V33" s="160"/>
      <c r="W33" s="275"/>
      <c r="X33" s="275"/>
      <c r="Y33" s="276"/>
      <c r="Z33" s="276"/>
      <c r="AA33" s="126"/>
      <c r="AB33" s="126"/>
      <c r="AC33" s="126"/>
      <c r="AD33" s="126"/>
      <c r="AE33" s="126"/>
      <c r="AF33" s="133"/>
      <c r="AG33" s="133"/>
      <c r="AH33" s="133"/>
      <c r="AI33" s="133"/>
      <c r="AJ33" s="133"/>
    </row>
    <row r="34" spans="6:36" ht="18" customHeight="1">
      <c r="F34" s="157"/>
      <c r="G34" s="157"/>
      <c r="H34" s="157"/>
      <c r="I34" s="157"/>
      <c r="J34" s="160"/>
      <c r="K34" s="160"/>
      <c r="L34" s="160"/>
      <c r="M34" s="160"/>
      <c r="N34" s="160"/>
      <c r="O34" s="160"/>
      <c r="P34" s="160"/>
      <c r="Q34" s="160"/>
      <c r="R34" s="160"/>
      <c r="S34" s="160"/>
      <c r="T34" s="160"/>
      <c r="U34" s="160"/>
      <c r="V34" s="160"/>
      <c r="W34" s="275"/>
      <c r="X34" s="275"/>
      <c r="Y34" s="276"/>
      <c r="Z34" s="276"/>
      <c r="AA34" s="133"/>
      <c r="AB34" s="133"/>
      <c r="AC34" s="133"/>
      <c r="AD34" s="133"/>
      <c r="AE34" s="133"/>
      <c r="AF34" s="126"/>
      <c r="AG34" s="126"/>
      <c r="AH34" s="126"/>
      <c r="AI34" s="126"/>
      <c r="AJ34" s="126"/>
    </row>
    <row r="35" spans="6:36" ht="18" customHeight="1">
      <c r="F35" s="157"/>
      <c r="G35" s="157"/>
      <c r="H35" s="157"/>
      <c r="I35" s="157"/>
      <c r="J35" s="160"/>
      <c r="K35" s="160"/>
      <c r="L35" s="160"/>
      <c r="M35" s="160"/>
      <c r="N35" s="160"/>
      <c r="O35" s="160"/>
      <c r="P35" s="160"/>
      <c r="Q35" s="160"/>
      <c r="R35" s="160"/>
      <c r="S35" s="160"/>
      <c r="T35" s="160"/>
      <c r="U35" s="160"/>
      <c r="V35" s="160"/>
      <c r="W35" s="275"/>
      <c r="X35" s="275"/>
      <c r="Y35" s="276"/>
      <c r="Z35" s="276"/>
      <c r="AA35" s="126"/>
      <c r="AB35" s="126"/>
      <c r="AC35" s="126"/>
      <c r="AD35" s="126"/>
      <c r="AE35" s="126"/>
      <c r="AF35" s="150"/>
      <c r="AG35" s="150"/>
      <c r="AH35" s="150"/>
      <c r="AI35" s="150"/>
      <c r="AJ35" s="150"/>
    </row>
    <row r="36" spans="6:36" ht="18" customHeight="1">
      <c r="F36" s="157"/>
      <c r="G36" s="157"/>
      <c r="H36" s="157"/>
      <c r="I36" s="157"/>
      <c r="J36" s="160"/>
      <c r="K36" s="160"/>
      <c r="L36" s="160"/>
      <c r="M36" s="160"/>
      <c r="N36" s="160"/>
      <c r="O36" s="160"/>
      <c r="P36" s="160"/>
      <c r="Q36" s="160"/>
      <c r="R36" s="160"/>
      <c r="S36" s="160"/>
      <c r="T36" s="160"/>
      <c r="U36" s="160"/>
      <c r="V36" s="160"/>
      <c r="W36" s="275"/>
      <c r="X36" s="275"/>
      <c r="Y36" s="276"/>
      <c r="Z36" s="276"/>
      <c r="AA36" s="150"/>
      <c r="AB36" s="150"/>
      <c r="AC36" s="150"/>
      <c r="AD36" s="150"/>
      <c r="AE36" s="150"/>
      <c r="AF36" s="150"/>
      <c r="AG36" s="150"/>
      <c r="AH36" s="150"/>
      <c r="AI36" s="150"/>
      <c r="AJ36" s="150"/>
    </row>
    <row r="37" spans="6:36" ht="18" customHeight="1">
      <c r="F37" s="157"/>
      <c r="G37" s="157"/>
      <c r="H37" s="157"/>
      <c r="I37" s="157"/>
      <c r="J37" s="276"/>
      <c r="K37" s="276"/>
      <c r="L37" s="276"/>
      <c r="M37" s="276"/>
      <c r="N37" s="155"/>
      <c r="O37" s="155"/>
      <c r="P37" s="155"/>
      <c r="Q37" s="270"/>
      <c r="R37" s="270"/>
      <c r="S37" s="270"/>
      <c r="T37" s="270"/>
      <c r="U37" s="270"/>
      <c r="V37" s="270"/>
      <c r="W37" s="275"/>
      <c r="X37" s="275"/>
      <c r="Y37" s="276"/>
      <c r="Z37" s="276"/>
      <c r="AA37" s="150"/>
      <c r="AB37" s="150"/>
      <c r="AC37" s="150"/>
      <c r="AD37" s="150"/>
      <c r="AE37" s="150"/>
      <c r="AF37" s="150"/>
      <c r="AG37" s="150"/>
      <c r="AH37" s="150"/>
      <c r="AI37" s="150"/>
      <c r="AJ37" s="150"/>
    </row>
    <row r="38" spans="6:36" ht="18" customHeight="1">
      <c r="F38" s="157"/>
      <c r="G38" s="157"/>
      <c r="H38" s="157"/>
      <c r="I38" s="157"/>
      <c r="J38" s="276"/>
      <c r="K38" s="276"/>
      <c r="L38" s="276"/>
      <c r="M38" s="276"/>
      <c r="N38" s="277"/>
      <c r="O38" s="277"/>
      <c r="P38" s="277"/>
      <c r="Q38" s="277"/>
      <c r="R38" s="158"/>
      <c r="S38" s="158"/>
      <c r="T38" s="158"/>
      <c r="U38" s="158"/>
      <c r="V38" s="276"/>
      <c r="W38" s="276"/>
      <c r="X38" s="155"/>
      <c r="Y38" s="155"/>
      <c r="Z38" s="155"/>
      <c r="AA38" s="150"/>
      <c r="AB38" s="150"/>
      <c r="AC38" s="150"/>
      <c r="AD38" s="150"/>
      <c r="AE38" s="150"/>
      <c r="AF38" s="133"/>
      <c r="AG38" s="133"/>
      <c r="AH38" s="133"/>
      <c r="AI38" s="133"/>
      <c r="AJ38" s="133"/>
    </row>
    <row r="39" spans="6:36" ht="5.25" customHeight="1">
      <c r="F39" s="155"/>
      <c r="G39" s="155"/>
      <c r="H39" s="155"/>
      <c r="I39" s="155"/>
      <c r="J39" s="281"/>
      <c r="K39" s="281"/>
      <c r="L39" s="266"/>
      <c r="M39" s="266"/>
      <c r="N39" s="155"/>
      <c r="O39" s="155"/>
      <c r="P39" s="155"/>
      <c r="Q39" s="155"/>
      <c r="R39" s="155"/>
      <c r="S39" s="155"/>
      <c r="T39" s="155"/>
      <c r="U39" s="155"/>
      <c r="V39" s="155"/>
      <c r="W39" s="155"/>
      <c r="X39" s="159"/>
      <c r="Y39" s="156"/>
      <c r="Z39" s="156"/>
      <c r="AA39" s="133"/>
      <c r="AB39" s="133"/>
      <c r="AC39" s="133"/>
      <c r="AD39" s="133"/>
      <c r="AE39" s="133"/>
    </row>
    <row r="42" spans="6:36">
      <c r="F42" s="109"/>
    </row>
    <row r="43" spans="6:36">
      <c r="F43" s="109"/>
    </row>
    <row r="44" spans="6:36">
      <c r="F44" s="109"/>
    </row>
    <row r="45" spans="6:36">
      <c r="F45" s="109"/>
    </row>
    <row r="46" spans="6:36">
      <c r="F46" s="109"/>
    </row>
    <row r="47" spans="6:36">
      <c r="F47" s="109"/>
    </row>
    <row r="48" spans="6:36">
      <c r="F48" s="109"/>
    </row>
    <row r="49" spans="6:6">
      <c r="F49" s="109"/>
    </row>
    <row r="50" spans="6:6">
      <c r="F50" s="109"/>
    </row>
    <row r="51" spans="6:6">
      <c r="F51" s="109"/>
    </row>
    <row r="52" spans="6:6">
      <c r="F52" s="109"/>
    </row>
    <row r="53" spans="6:6">
      <c r="F53" s="109"/>
    </row>
    <row r="54" spans="6:6">
      <c r="F54" s="109"/>
    </row>
    <row r="56" spans="6:6">
      <c r="F56" s="109"/>
    </row>
  </sheetData>
  <mergeCells count="204">
    <mergeCell ref="F29:G29"/>
    <mergeCell ref="F30:G30"/>
    <mergeCell ref="AA18:AC18"/>
    <mergeCell ref="AD18:AE18"/>
    <mergeCell ref="AD4:AF4"/>
    <mergeCell ref="J39:K39"/>
    <mergeCell ref="L39:M39"/>
    <mergeCell ref="T7:U7"/>
    <mergeCell ref="T8:U8"/>
    <mergeCell ref="T9:U9"/>
    <mergeCell ref="T10:U10"/>
    <mergeCell ref="T11:U11"/>
    <mergeCell ref="T12:U12"/>
    <mergeCell ref="T13:U13"/>
    <mergeCell ref="T14:U14"/>
    <mergeCell ref="W35:X35"/>
    <mergeCell ref="Y35:Z35"/>
    <mergeCell ref="W31:X31"/>
    <mergeCell ref="Y31:Z31"/>
    <mergeCell ref="AA17:AC17"/>
    <mergeCell ref="J18:L18"/>
    <mergeCell ref="M18:N18"/>
    <mergeCell ref="P24:Q24"/>
    <mergeCell ref="W33:X33"/>
    <mergeCell ref="Y33:Z33"/>
    <mergeCell ref="W34:X34"/>
    <mergeCell ref="Y34:Z34"/>
    <mergeCell ref="J38:K38"/>
    <mergeCell ref="L38:M38"/>
    <mergeCell ref="N38:Q38"/>
    <mergeCell ref="V38:W38"/>
    <mergeCell ref="J37:K37"/>
    <mergeCell ref="L37:M37"/>
    <mergeCell ref="Q37:V37"/>
    <mergeCell ref="W37:X37"/>
    <mergeCell ref="Y37:Z37"/>
    <mergeCell ref="W36:X36"/>
    <mergeCell ref="Y36:Z36"/>
    <mergeCell ref="P25:Q25"/>
    <mergeCell ref="Y27:Z27"/>
    <mergeCell ref="N23:O23"/>
    <mergeCell ref="F28:G28"/>
    <mergeCell ref="W32:X32"/>
    <mergeCell ref="Y32:Z32"/>
    <mergeCell ref="O17:P17"/>
    <mergeCell ref="P21:Q21"/>
    <mergeCell ref="F24:G24"/>
    <mergeCell ref="H24:I24"/>
    <mergeCell ref="J24:K24"/>
    <mergeCell ref="L24:M24"/>
    <mergeCell ref="F25:G25"/>
    <mergeCell ref="H25:I25"/>
    <mergeCell ref="J25:K25"/>
    <mergeCell ref="L25:M25"/>
    <mergeCell ref="T17:U17"/>
    <mergeCell ref="F18:G18"/>
    <mergeCell ref="H18:I18"/>
    <mergeCell ref="P22:Q22"/>
    <mergeCell ref="T18:U18"/>
    <mergeCell ref="V18:W18"/>
    <mergeCell ref="W30:X30"/>
    <mergeCell ref="Y30:Z30"/>
    <mergeCell ref="Y28:Z28"/>
    <mergeCell ref="P23:Q23"/>
    <mergeCell ref="F22:G22"/>
    <mergeCell ref="H22:I22"/>
    <mergeCell ref="J22:K22"/>
    <mergeCell ref="V14:W14"/>
    <mergeCell ref="O14:P14"/>
    <mergeCell ref="F23:G23"/>
    <mergeCell ref="H23:I23"/>
    <mergeCell ref="J23:K23"/>
    <mergeCell ref="Q17:S17"/>
    <mergeCell ref="M17:N17"/>
    <mergeCell ref="F21:G21"/>
    <mergeCell ref="H21:I21"/>
    <mergeCell ref="J21:K21"/>
    <mergeCell ref="F17:G17"/>
    <mergeCell ref="H17:I17"/>
    <mergeCell ref="J17:L17"/>
    <mergeCell ref="L21:M21"/>
    <mergeCell ref="L22:M22"/>
    <mergeCell ref="L23:M23"/>
    <mergeCell ref="V17:W17"/>
    <mergeCell ref="O18:P18"/>
    <mergeCell ref="Q18:S18"/>
    <mergeCell ref="F16:G16"/>
    <mergeCell ref="H16:I16"/>
    <mergeCell ref="J16:L16"/>
    <mergeCell ref="F15:G15"/>
    <mergeCell ref="H15:I15"/>
    <mergeCell ref="J15:L15"/>
    <mergeCell ref="Q14:S14"/>
    <mergeCell ref="F14:G14"/>
    <mergeCell ref="H14:I14"/>
    <mergeCell ref="J14:L14"/>
    <mergeCell ref="F13:G13"/>
    <mergeCell ref="H13:I13"/>
    <mergeCell ref="J13:L13"/>
    <mergeCell ref="V13:W13"/>
    <mergeCell ref="F8:G8"/>
    <mergeCell ref="H8:I8"/>
    <mergeCell ref="O13:P13"/>
    <mergeCell ref="J8:L8"/>
    <mergeCell ref="Q11:S11"/>
    <mergeCell ref="M11:N11"/>
    <mergeCell ref="Q13:S13"/>
    <mergeCell ref="M13:N13"/>
    <mergeCell ref="F10:G10"/>
    <mergeCell ref="H10:I10"/>
    <mergeCell ref="J10:L10"/>
    <mergeCell ref="F9:G9"/>
    <mergeCell ref="H9:I9"/>
    <mergeCell ref="J9:L9"/>
    <mergeCell ref="V9:W9"/>
    <mergeCell ref="V10:W10"/>
    <mergeCell ref="O9:P9"/>
    <mergeCell ref="M12:N12"/>
    <mergeCell ref="Q9:S9"/>
    <mergeCell ref="O11:P11"/>
    <mergeCell ref="W2:X2"/>
    <mergeCell ref="Y2:Z2"/>
    <mergeCell ref="F2:N2"/>
    <mergeCell ref="V7:W7"/>
    <mergeCell ref="V8:W8"/>
    <mergeCell ref="O7:P7"/>
    <mergeCell ref="O8:P8"/>
    <mergeCell ref="Q8:S8"/>
    <mergeCell ref="X8:Z8"/>
    <mergeCell ref="M8:N8"/>
    <mergeCell ref="Q7:S7"/>
    <mergeCell ref="X7:Z7"/>
    <mergeCell ref="M7:N7"/>
    <mergeCell ref="F3:G4"/>
    <mergeCell ref="Y4:AC4"/>
    <mergeCell ref="AD13:AE13"/>
    <mergeCell ref="AD14:AE14"/>
    <mergeCell ref="AD15:AE15"/>
    <mergeCell ref="AD16:AE16"/>
    <mergeCell ref="AD17:AE17"/>
    <mergeCell ref="AD21:AE21"/>
    <mergeCell ref="Y21:Z21"/>
    <mergeCell ref="Y20:Z20"/>
    <mergeCell ref="AD20:AE20"/>
    <mergeCell ref="AA14:AC14"/>
    <mergeCell ref="X13:Z13"/>
    <mergeCell ref="AA13:AC13"/>
    <mergeCell ref="AA16:AC16"/>
    <mergeCell ref="AA15:AC15"/>
    <mergeCell ref="X17:Z17"/>
    <mergeCell ref="X18:Z18"/>
    <mergeCell ref="X14:Z14"/>
    <mergeCell ref="X16:Z16"/>
    <mergeCell ref="X15:Z15"/>
    <mergeCell ref="AD7:AE7"/>
    <mergeCell ref="AD8:AE8"/>
    <mergeCell ref="AD9:AE9"/>
    <mergeCell ref="AD10:AE10"/>
    <mergeCell ref="AD11:AE11"/>
    <mergeCell ref="AD12:AE12"/>
    <mergeCell ref="AA11:AC11"/>
    <mergeCell ref="AA8:AC8"/>
    <mergeCell ref="AA10:AC10"/>
    <mergeCell ref="F7:G7"/>
    <mergeCell ref="H7:I7"/>
    <mergeCell ref="J7:L7"/>
    <mergeCell ref="AA7:AC7"/>
    <mergeCell ref="O10:P10"/>
    <mergeCell ref="F12:G12"/>
    <mergeCell ref="H12:I12"/>
    <mergeCell ref="J12:L12"/>
    <mergeCell ref="F11:G11"/>
    <mergeCell ref="H11:I11"/>
    <mergeCell ref="J11:L11"/>
    <mergeCell ref="Q10:S10"/>
    <mergeCell ref="X10:Z10"/>
    <mergeCell ref="M10:N10"/>
    <mergeCell ref="V11:W11"/>
    <mergeCell ref="V12:W12"/>
    <mergeCell ref="AA12:AC12"/>
    <mergeCell ref="O12:P12"/>
    <mergeCell ref="Q12:S12"/>
    <mergeCell ref="X12:Z12"/>
    <mergeCell ref="X9:Z9"/>
    <mergeCell ref="M9:N9"/>
    <mergeCell ref="AA9:AC9"/>
    <mergeCell ref="X11:Z11"/>
    <mergeCell ref="N24:O24"/>
    <mergeCell ref="N25:O25"/>
    <mergeCell ref="AA20:AC20"/>
    <mergeCell ref="AA21:AC21"/>
    <mergeCell ref="M14:N14"/>
    <mergeCell ref="V15:W15"/>
    <mergeCell ref="V16:W16"/>
    <mergeCell ref="O15:P15"/>
    <mergeCell ref="O16:P16"/>
    <mergeCell ref="Q16:S16"/>
    <mergeCell ref="M16:N16"/>
    <mergeCell ref="T15:U15"/>
    <mergeCell ref="T16:U16"/>
    <mergeCell ref="Q15:S15"/>
    <mergeCell ref="M15:N15"/>
    <mergeCell ref="N21:O21"/>
    <mergeCell ref="N22:O22"/>
  </mergeCells>
  <phoneticPr fontId="1"/>
  <printOptions horizontalCentered="1" verticalCentered="1"/>
  <pageMargins left="0.39370078740157483" right="0.39370078740157483" top="0.27559055118110237" bottom="0.27559055118110237" header="0.11811023622047245" footer="0.11811023622047245"/>
  <pageSetup paperSize="9" scale="90" orientation="landscape" r:id="rId1"/>
  <colBreaks count="1" manualBreakCount="1">
    <brk id="36" max="38"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1"/>
    <pageSetUpPr fitToPage="1"/>
  </sheetPr>
  <dimension ref="B2:W94"/>
  <sheetViews>
    <sheetView zoomScale="85" zoomScaleNormal="85" zoomScaleSheetLayoutView="100" workbookViewId="0">
      <selection activeCell="J10" sqref="J10"/>
    </sheetView>
  </sheetViews>
  <sheetFormatPr defaultRowHeight="13.5"/>
  <cols>
    <col min="1" max="1" width="2.125" customWidth="1"/>
    <col min="2" max="2" width="4.625" customWidth="1"/>
    <col min="3" max="3" width="9" customWidth="1"/>
    <col min="4" max="4" width="11.625" customWidth="1"/>
    <col min="5" max="5" width="17.25" customWidth="1"/>
    <col min="6" max="9" width="10.75" customWidth="1"/>
    <col min="10" max="10" width="5.75" customWidth="1"/>
    <col min="11" max="11" width="11.125" bestFit="1" customWidth="1"/>
    <col min="12" max="15" width="10.75" customWidth="1"/>
    <col min="16" max="18" width="10.75" style="73" customWidth="1"/>
    <col min="19" max="19" width="10.75" customWidth="1"/>
    <col min="20" max="25" width="9" customWidth="1"/>
    <col min="26" max="26" width="6.875" customWidth="1"/>
    <col min="28" max="28" width="9.5" bestFit="1" customWidth="1"/>
  </cols>
  <sheetData>
    <row r="2" spans="2:18" ht="15" thickBot="1">
      <c r="B2" s="1" t="s">
        <v>32</v>
      </c>
      <c r="E2" s="100"/>
    </row>
    <row r="3" spans="2:18">
      <c r="B3" s="299" t="s">
        <v>57</v>
      </c>
      <c r="C3" s="299"/>
      <c r="E3" s="72" t="s">
        <v>89</v>
      </c>
      <c r="F3" s="89" t="s">
        <v>47</v>
      </c>
      <c r="G3" s="89" t="s">
        <v>48</v>
      </c>
      <c r="H3" s="89" t="s">
        <v>49</v>
      </c>
      <c r="I3" s="89" t="s">
        <v>198</v>
      </c>
      <c r="J3" s="292" t="s">
        <v>90</v>
      </c>
      <c r="K3" s="293"/>
      <c r="L3" s="297" t="s">
        <v>95</v>
      </c>
      <c r="M3" s="298"/>
    </row>
    <row r="4" spans="2:18">
      <c r="B4" s="300">
        <f>入力用!S2</f>
        <v>2026</v>
      </c>
      <c r="C4" s="301"/>
      <c r="E4" s="89" t="s">
        <v>46</v>
      </c>
      <c r="F4" s="101">
        <v>7.8E-2</v>
      </c>
      <c r="G4" s="101">
        <v>2.7E-2</v>
      </c>
      <c r="H4" s="101">
        <v>2.3E-2</v>
      </c>
      <c r="I4" s="101">
        <v>2E-3</v>
      </c>
      <c r="J4" s="302" t="str">
        <f>_xlfn.IFS(J5=M7,L7,J5=M6,L6,J5=M5,L5,TRUE,L4)</f>
        <v>７割軽減</v>
      </c>
      <c r="K4" s="303"/>
      <c r="L4" s="161" t="s">
        <v>91</v>
      </c>
      <c r="M4" s="103">
        <v>1</v>
      </c>
    </row>
    <row r="5" spans="2:18">
      <c r="E5" s="89" t="s">
        <v>50</v>
      </c>
      <c r="F5" s="102">
        <v>44800</v>
      </c>
      <c r="G5" s="102">
        <v>16200</v>
      </c>
      <c r="H5" s="102">
        <v>16400</v>
      </c>
      <c r="I5" s="102">
        <v>1400</v>
      </c>
      <c r="J5" s="304">
        <f>軽減判定!$Y27</f>
        <v>0.3</v>
      </c>
      <c r="K5" s="305"/>
      <c r="L5" s="104" t="s">
        <v>92</v>
      </c>
      <c r="M5" s="103">
        <v>0.8</v>
      </c>
    </row>
    <row r="6" spans="2:18">
      <c r="E6" s="89" t="s">
        <v>51</v>
      </c>
      <c r="F6" s="102">
        <v>0</v>
      </c>
      <c r="G6" s="102">
        <v>0</v>
      </c>
      <c r="H6" s="102">
        <v>0</v>
      </c>
      <c r="I6" s="102">
        <v>0</v>
      </c>
      <c r="L6" s="104" t="s">
        <v>94</v>
      </c>
      <c r="M6" s="103">
        <v>0.5</v>
      </c>
    </row>
    <row r="7" spans="2:18" ht="14.25" thickBot="1">
      <c r="E7" s="89" t="s">
        <v>52</v>
      </c>
      <c r="F7" s="102">
        <v>670000</v>
      </c>
      <c r="G7" s="102">
        <v>260000</v>
      </c>
      <c r="H7" s="102">
        <v>170000</v>
      </c>
      <c r="I7" s="102">
        <v>30000</v>
      </c>
      <c r="L7" s="105" t="s">
        <v>93</v>
      </c>
      <c r="M7" s="106">
        <v>0.3</v>
      </c>
    </row>
    <row r="11" spans="2:18">
      <c r="O11" s="91"/>
    </row>
    <row r="12" spans="2:18" ht="20.25" customHeight="1" thickBot="1">
      <c r="O12" s="92" t="s">
        <v>78</v>
      </c>
    </row>
    <row r="13" spans="2:18" ht="27">
      <c r="B13" s="291" t="s">
        <v>47</v>
      </c>
      <c r="C13" s="59"/>
      <c r="D13" s="60" t="s">
        <v>15</v>
      </c>
      <c r="E13" s="60" t="s">
        <v>55</v>
      </c>
      <c r="F13" s="60" t="s">
        <v>73</v>
      </c>
      <c r="G13" s="61" t="s">
        <v>159</v>
      </c>
      <c r="H13" s="61" t="s">
        <v>160</v>
      </c>
      <c r="I13" s="143" t="s">
        <v>157</v>
      </c>
      <c r="J13" s="61" t="s">
        <v>53</v>
      </c>
      <c r="K13" s="61" t="s">
        <v>80</v>
      </c>
      <c r="L13" s="143" t="s">
        <v>158</v>
      </c>
      <c r="M13" s="62" t="s">
        <v>74</v>
      </c>
      <c r="N13" s="80" t="s">
        <v>75</v>
      </c>
      <c r="O13" s="93" t="s">
        <v>79</v>
      </c>
      <c r="P13" s="61" t="s">
        <v>80</v>
      </c>
      <c r="Q13" s="61" t="s">
        <v>81</v>
      </c>
      <c r="R13" s="64" t="s">
        <v>82</v>
      </c>
    </row>
    <row r="14" spans="2:18" ht="13.5" customHeight="1">
      <c r="B14" s="291"/>
      <c r="C14" s="72" t="s">
        <v>13</v>
      </c>
      <c r="D14" s="56">
        <f>入力用!H8</f>
        <v>0</v>
      </c>
      <c r="E14" s="56" t="str">
        <f>IF(D14&gt;=B$72,D$72,IF(D14&gt;B$75,D$75,IF(D14&gt;B$87,D$87,IF(D14&gt;B$78,D$78,IF(D14&gt;B$81,D$81,IF(D14&lt;B$84,D$72,D$78))))))</f>
        <v>国保加入期間なし</v>
      </c>
      <c r="F14" s="49">
        <f>IF(E14=D$72,0,入力用!AE8)</f>
        <v>0</v>
      </c>
      <c r="G14" s="57">
        <f>F14*F$4</f>
        <v>0</v>
      </c>
      <c r="H14" s="49">
        <f t="shared" ref="H14:H23" si="0">IF(E14=D$72,0,IF(E14=D$75,$F$5*$J$5/2,$F$5*$J$5))</f>
        <v>0</v>
      </c>
      <c r="I14" s="57">
        <f t="shared" ref="I14:I24" si="1">SUM(G14:H14)</f>
        <v>0</v>
      </c>
      <c r="J14" s="145">
        <f>IF(E14=D$72,0,入力用!U$6)</f>
        <v>0</v>
      </c>
      <c r="K14" s="144"/>
      <c r="L14" s="57">
        <f>I14/12*J14</f>
        <v>0</v>
      </c>
      <c r="M14" s="85"/>
      <c r="N14" s="81"/>
      <c r="O14" s="94">
        <f t="shared" ref="O14:O23" si="2">ROUNDDOWN(G14/12*J14,0)</f>
        <v>0</v>
      </c>
      <c r="P14" s="84" t="e">
        <f>ROUNDDOWN(P$24/SUM(J$14:J$23),0)*J14</f>
        <v>#DIV/0!</v>
      </c>
      <c r="Q14" s="84" t="e">
        <f t="shared" ref="Q14:Q23" si="3">H14/12*J14+O14+P14</f>
        <v>#DIV/0!</v>
      </c>
      <c r="R14" s="74" t="e">
        <f>N24-SUM(R15:R23)</f>
        <v>#DIV/0!</v>
      </c>
    </row>
    <row r="15" spans="2:18">
      <c r="B15" s="291"/>
      <c r="C15" s="72" t="s">
        <v>14</v>
      </c>
      <c r="D15" s="56">
        <f>入力用!H9</f>
        <v>0</v>
      </c>
      <c r="E15" s="56" t="str">
        <f t="shared" ref="E15:E23" si="4">IF(D15&gt;=B$72,D$72,IF(D15&gt;B$75,D$75,IF(D15&gt;B$87,D$87,IF(D15&gt;B$78,D$78,IF(D15&gt;B$81,D$81,IF(D15&lt;B$84,D$72,D$78))))))</f>
        <v>国保加入期間なし</v>
      </c>
      <c r="F15" s="49">
        <f>IF(E15=D$72,0,入力用!AE9)</f>
        <v>0</v>
      </c>
      <c r="G15" s="57">
        <f t="shared" ref="G15:G23" si="5">F15*F$4</f>
        <v>0</v>
      </c>
      <c r="H15" s="49">
        <f t="shared" si="0"/>
        <v>0</v>
      </c>
      <c r="I15" s="57">
        <f t="shared" si="1"/>
        <v>0</v>
      </c>
      <c r="J15" s="145">
        <f>IF(E15=D$72,0,入力用!U$6)</f>
        <v>0</v>
      </c>
      <c r="K15" s="144"/>
      <c r="L15" s="57">
        <f t="shared" ref="L15:L22" si="6">I15/12*J15</f>
        <v>0</v>
      </c>
      <c r="M15" s="85"/>
      <c r="N15" s="81"/>
      <c r="O15" s="94">
        <f t="shared" si="2"/>
        <v>0</v>
      </c>
      <c r="P15" s="84" t="e">
        <f t="shared" ref="P15:P21" si="7">ROUNDDOWN(P$24/SUM(J$14:J$23),0)*J15</f>
        <v>#DIV/0!</v>
      </c>
      <c r="Q15" s="84" t="e">
        <f t="shared" si="3"/>
        <v>#DIV/0!</v>
      </c>
      <c r="R15" s="74" t="e">
        <f>ROUNDDOWN(Q15/Q$24*N$24,0)</f>
        <v>#DIV/0!</v>
      </c>
    </row>
    <row r="16" spans="2:18">
      <c r="B16" s="291"/>
      <c r="C16" s="72" t="s">
        <v>20</v>
      </c>
      <c r="D16" s="56">
        <f>入力用!H10</f>
        <v>0</v>
      </c>
      <c r="E16" s="56" t="str">
        <f t="shared" si="4"/>
        <v>国保加入期間なし</v>
      </c>
      <c r="F16" s="49">
        <f>IF(E16=D$72,0,入力用!AE10)</f>
        <v>0</v>
      </c>
      <c r="G16" s="57">
        <f t="shared" si="5"/>
        <v>0</v>
      </c>
      <c r="H16" s="49">
        <f t="shared" si="0"/>
        <v>0</v>
      </c>
      <c r="I16" s="57">
        <f t="shared" si="1"/>
        <v>0</v>
      </c>
      <c r="J16" s="145">
        <f>IF(E16=D$72,0,入力用!U$6)</f>
        <v>0</v>
      </c>
      <c r="K16" s="144"/>
      <c r="L16" s="57">
        <f t="shared" si="6"/>
        <v>0</v>
      </c>
      <c r="M16" s="85"/>
      <c r="N16" s="81"/>
      <c r="O16" s="94">
        <f t="shared" si="2"/>
        <v>0</v>
      </c>
      <c r="P16" s="84" t="e">
        <f>ROUNDDOWN(P$24/SUM(J$14:J$23),0)*J16</f>
        <v>#DIV/0!</v>
      </c>
      <c r="Q16" s="84" t="e">
        <f t="shared" si="3"/>
        <v>#DIV/0!</v>
      </c>
      <c r="R16" s="74" t="e">
        <f t="shared" ref="R16:R23" si="8">ROUNDDOWN(Q16/Q$24*N$24,0)</f>
        <v>#DIV/0!</v>
      </c>
    </row>
    <row r="17" spans="2:18">
      <c r="B17" s="291"/>
      <c r="C17" s="72" t="s">
        <v>21</v>
      </c>
      <c r="D17" s="56">
        <f>入力用!H11</f>
        <v>0</v>
      </c>
      <c r="E17" s="56" t="str">
        <f t="shared" si="4"/>
        <v>国保加入期間なし</v>
      </c>
      <c r="F17" s="49">
        <f>IF(E17=D$72,0,入力用!AE11)</f>
        <v>0</v>
      </c>
      <c r="G17" s="57">
        <f t="shared" si="5"/>
        <v>0</v>
      </c>
      <c r="H17" s="49">
        <f t="shared" si="0"/>
        <v>0</v>
      </c>
      <c r="I17" s="57">
        <f t="shared" si="1"/>
        <v>0</v>
      </c>
      <c r="J17" s="145">
        <f>IF(E17=D$72,0,入力用!U$6)</f>
        <v>0</v>
      </c>
      <c r="K17" s="144"/>
      <c r="L17" s="57">
        <f t="shared" si="6"/>
        <v>0</v>
      </c>
      <c r="M17" s="85"/>
      <c r="N17" s="81"/>
      <c r="O17" s="94">
        <f t="shared" si="2"/>
        <v>0</v>
      </c>
      <c r="P17" s="84" t="e">
        <f t="shared" si="7"/>
        <v>#DIV/0!</v>
      </c>
      <c r="Q17" s="84" t="e">
        <f t="shared" si="3"/>
        <v>#DIV/0!</v>
      </c>
      <c r="R17" s="74" t="e">
        <f t="shared" si="8"/>
        <v>#DIV/0!</v>
      </c>
    </row>
    <row r="18" spans="2:18">
      <c r="B18" s="291"/>
      <c r="C18" s="72" t="s">
        <v>22</v>
      </c>
      <c r="D18" s="56">
        <f>入力用!H12</f>
        <v>0</v>
      </c>
      <c r="E18" s="56" t="str">
        <f t="shared" si="4"/>
        <v>国保加入期間なし</v>
      </c>
      <c r="F18" s="49">
        <f>IF(E18=D$72,0,入力用!AE12)</f>
        <v>0</v>
      </c>
      <c r="G18" s="57">
        <f t="shared" si="5"/>
        <v>0</v>
      </c>
      <c r="H18" s="49">
        <f t="shared" si="0"/>
        <v>0</v>
      </c>
      <c r="I18" s="57">
        <f t="shared" si="1"/>
        <v>0</v>
      </c>
      <c r="J18" s="145">
        <f>IF(E18=D$72,0,入力用!U$6)</f>
        <v>0</v>
      </c>
      <c r="K18" s="144"/>
      <c r="L18" s="57">
        <f t="shared" si="6"/>
        <v>0</v>
      </c>
      <c r="M18" s="85"/>
      <c r="N18" s="81"/>
      <c r="O18" s="94">
        <f t="shared" si="2"/>
        <v>0</v>
      </c>
      <c r="P18" s="84" t="e">
        <f t="shared" si="7"/>
        <v>#DIV/0!</v>
      </c>
      <c r="Q18" s="84" t="e">
        <f t="shared" si="3"/>
        <v>#DIV/0!</v>
      </c>
      <c r="R18" s="74" t="e">
        <f t="shared" si="8"/>
        <v>#DIV/0!</v>
      </c>
    </row>
    <row r="19" spans="2:18">
      <c r="B19" s="291"/>
      <c r="C19" s="72" t="s">
        <v>68</v>
      </c>
      <c r="D19" s="56">
        <f>入力用!H13</f>
        <v>0</v>
      </c>
      <c r="E19" s="56" t="str">
        <f t="shared" si="4"/>
        <v>国保加入期間なし</v>
      </c>
      <c r="F19" s="49">
        <f>IF(E19=D$72,0,入力用!AE13)</f>
        <v>0</v>
      </c>
      <c r="G19" s="57">
        <f t="shared" si="5"/>
        <v>0</v>
      </c>
      <c r="H19" s="49">
        <f t="shared" si="0"/>
        <v>0</v>
      </c>
      <c r="I19" s="57">
        <f t="shared" si="1"/>
        <v>0</v>
      </c>
      <c r="J19" s="145">
        <f>IF(E19=D$72,0,入力用!U$6)</f>
        <v>0</v>
      </c>
      <c r="K19" s="144"/>
      <c r="L19" s="57">
        <f t="shared" si="6"/>
        <v>0</v>
      </c>
      <c r="M19" s="85"/>
      <c r="N19" s="81"/>
      <c r="O19" s="94">
        <f t="shared" si="2"/>
        <v>0</v>
      </c>
      <c r="P19" s="84" t="e">
        <f t="shared" si="7"/>
        <v>#DIV/0!</v>
      </c>
      <c r="Q19" s="84" t="e">
        <f t="shared" si="3"/>
        <v>#DIV/0!</v>
      </c>
      <c r="R19" s="74" t="e">
        <f t="shared" si="8"/>
        <v>#DIV/0!</v>
      </c>
    </row>
    <row r="20" spans="2:18">
      <c r="B20" s="291"/>
      <c r="C20" s="72" t="s">
        <v>69</v>
      </c>
      <c r="D20" s="56">
        <f>入力用!H14</f>
        <v>0</v>
      </c>
      <c r="E20" s="56" t="str">
        <f t="shared" si="4"/>
        <v>国保加入期間なし</v>
      </c>
      <c r="F20" s="49">
        <f>IF(E20=D$72,0,入力用!AE14)</f>
        <v>0</v>
      </c>
      <c r="G20" s="57">
        <f t="shared" si="5"/>
        <v>0</v>
      </c>
      <c r="H20" s="49">
        <f t="shared" si="0"/>
        <v>0</v>
      </c>
      <c r="I20" s="57">
        <f t="shared" si="1"/>
        <v>0</v>
      </c>
      <c r="J20" s="145">
        <f>IF(E20=D$72,0,入力用!U$6)</f>
        <v>0</v>
      </c>
      <c r="K20" s="144"/>
      <c r="L20" s="57">
        <f t="shared" si="6"/>
        <v>0</v>
      </c>
      <c r="M20" s="85"/>
      <c r="N20" s="81"/>
      <c r="O20" s="94">
        <f t="shared" si="2"/>
        <v>0</v>
      </c>
      <c r="P20" s="84" t="e">
        <f t="shared" si="7"/>
        <v>#DIV/0!</v>
      </c>
      <c r="Q20" s="84" t="e">
        <f t="shared" si="3"/>
        <v>#DIV/0!</v>
      </c>
      <c r="R20" s="74" t="e">
        <f t="shared" si="8"/>
        <v>#DIV/0!</v>
      </c>
    </row>
    <row r="21" spans="2:18">
      <c r="B21" s="291"/>
      <c r="C21" s="72" t="s">
        <v>70</v>
      </c>
      <c r="D21" s="56">
        <f>入力用!H15</f>
        <v>0</v>
      </c>
      <c r="E21" s="56" t="str">
        <f t="shared" si="4"/>
        <v>国保加入期間なし</v>
      </c>
      <c r="F21" s="49">
        <f>IF(E21=D$72,0,入力用!AE15)</f>
        <v>0</v>
      </c>
      <c r="G21" s="57">
        <f t="shared" si="5"/>
        <v>0</v>
      </c>
      <c r="H21" s="49">
        <f t="shared" si="0"/>
        <v>0</v>
      </c>
      <c r="I21" s="57">
        <f t="shared" si="1"/>
        <v>0</v>
      </c>
      <c r="J21" s="145">
        <f>IF(E21=D$72,0,入力用!U$6)</f>
        <v>0</v>
      </c>
      <c r="K21" s="144"/>
      <c r="L21" s="57">
        <f t="shared" si="6"/>
        <v>0</v>
      </c>
      <c r="M21" s="85"/>
      <c r="N21" s="81"/>
      <c r="O21" s="94">
        <f t="shared" si="2"/>
        <v>0</v>
      </c>
      <c r="P21" s="84" t="e">
        <f t="shared" si="7"/>
        <v>#DIV/0!</v>
      </c>
      <c r="Q21" s="84" t="e">
        <f t="shared" si="3"/>
        <v>#DIV/0!</v>
      </c>
      <c r="R21" s="74" t="e">
        <f t="shared" si="8"/>
        <v>#DIV/0!</v>
      </c>
    </row>
    <row r="22" spans="2:18">
      <c r="B22" s="291"/>
      <c r="C22" s="72" t="s">
        <v>71</v>
      </c>
      <c r="D22" s="56">
        <f>入力用!H16</f>
        <v>0</v>
      </c>
      <c r="E22" s="56" t="str">
        <f t="shared" si="4"/>
        <v>国保加入期間なし</v>
      </c>
      <c r="F22" s="49">
        <f>IF(E22=D$72,0,入力用!AE16)</f>
        <v>0</v>
      </c>
      <c r="G22" s="57">
        <f t="shared" si="5"/>
        <v>0</v>
      </c>
      <c r="H22" s="49">
        <f t="shared" si="0"/>
        <v>0</v>
      </c>
      <c r="I22" s="57">
        <f t="shared" si="1"/>
        <v>0</v>
      </c>
      <c r="J22" s="145">
        <f>IF(E22=D$72,0,入力用!U$6)</f>
        <v>0</v>
      </c>
      <c r="K22" s="144"/>
      <c r="L22" s="57">
        <f t="shared" si="6"/>
        <v>0</v>
      </c>
      <c r="M22" s="85"/>
      <c r="N22" s="81"/>
      <c r="O22" s="94">
        <f t="shared" si="2"/>
        <v>0</v>
      </c>
      <c r="P22" s="84" t="e">
        <f>ROUNDDOWN(P$24/SUM(J$14:J$23),0)*J22</f>
        <v>#DIV/0!</v>
      </c>
      <c r="Q22" s="84" t="e">
        <f t="shared" si="3"/>
        <v>#DIV/0!</v>
      </c>
      <c r="R22" s="74" t="e">
        <f t="shared" si="8"/>
        <v>#DIV/0!</v>
      </c>
    </row>
    <row r="23" spans="2:18" ht="14.25" thickBot="1">
      <c r="B23" s="291"/>
      <c r="C23" s="72" t="s">
        <v>72</v>
      </c>
      <c r="D23" s="56">
        <f>入力用!H17</f>
        <v>0</v>
      </c>
      <c r="E23" s="56" t="str">
        <f t="shared" si="4"/>
        <v>国保加入期間なし</v>
      </c>
      <c r="F23" s="49">
        <f>IF(E23=D$72,0,入力用!AE17)</f>
        <v>0</v>
      </c>
      <c r="G23" s="57">
        <f t="shared" si="5"/>
        <v>0</v>
      </c>
      <c r="H23" s="49">
        <f t="shared" si="0"/>
        <v>0</v>
      </c>
      <c r="I23" s="57">
        <f t="shared" si="1"/>
        <v>0</v>
      </c>
      <c r="J23" s="145">
        <f>IF(E23=D$72,0,入力用!U$6)</f>
        <v>0</v>
      </c>
      <c r="K23" s="144"/>
      <c r="L23" s="57">
        <f>I23/12*J23</f>
        <v>0</v>
      </c>
      <c r="M23" s="85"/>
      <c r="N23" s="82"/>
      <c r="O23" s="94">
        <f t="shared" si="2"/>
        <v>0</v>
      </c>
      <c r="P23" s="84" t="e">
        <f>ROUNDDOWN(P$24/SUM(J$14:J$23),0)*J23</f>
        <v>#DIV/0!</v>
      </c>
      <c r="Q23" s="84" t="e">
        <f t="shared" si="3"/>
        <v>#DIV/0!</v>
      </c>
      <c r="R23" s="65" t="e">
        <f t="shared" si="8"/>
        <v>#DIV/0!</v>
      </c>
    </row>
    <row r="24" spans="2:18" ht="14.25" thickBot="1">
      <c r="B24" s="291"/>
      <c r="C24" s="292" t="s">
        <v>67</v>
      </c>
      <c r="D24" s="293"/>
      <c r="E24" s="294"/>
      <c r="F24" s="49">
        <f>SUM(F14:F23)</f>
        <v>0</v>
      </c>
      <c r="G24" s="57">
        <f>SUM(G14:G23)</f>
        <v>0</v>
      </c>
      <c r="H24" s="49">
        <f>SUM(H14:H23)</f>
        <v>0</v>
      </c>
      <c r="I24" s="57">
        <f t="shared" si="1"/>
        <v>0</v>
      </c>
      <c r="J24" s="58">
        <f>MAX(J14:J23)</f>
        <v>0</v>
      </c>
      <c r="K24" s="49">
        <f>F6*J5/12*J24</f>
        <v>0</v>
      </c>
      <c r="L24" s="57">
        <f>SUM(L14:L23)+K24</f>
        <v>0</v>
      </c>
      <c r="M24" s="63">
        <f>F7/12*J24</f>
        <v>0</v>
      </c>
      <c r="N24" s="83">
        <f>ROUNDDOWN(IF(L24&lt;M24,L24,M24),-2)</f>
        <v>0</v>
      </c>
      <c r="O24" s="95"/>
      <c r="P24" s="49">
        <f>K24</f>
        <v>0</v>
      </c>
      <c r="Q24" s="49" t="e">
        <f>SUM(Q14:Q23)</f>
        <v>#DIV/0!</v>
      </c>
      <c r="R24" s="86"/>
    </row>
    <row r="25" spans="2:18" ht="20.25" customHeight="1" thickBot="1">
      <c r="G25" s="44"/>
      <c r="O25" s="91"/>
    </row>
    <row r="26" spans="2:18" ht="27">
      <c r="B26" s="291" t="s">
        <v>48</v>
      </c>
      <c r="C26" s="59"/>
      <c r="D26" s="60" t="s">
        <v>15</v>
      </c>
      <c r="E26" s="60" t="s">
        <v>55</v>
      </c>
      <c r="F26" s="60" t="s">
        <v>73</v>
      </c>
      <c r="G26" s="61" t="s">
        <v>159</v>
      </c>
      <c r="H26" s="61" t="s">
        <v>160</v>
      </c>
      <c r="I26" s="143" t="s">
        <v>157</v>
      </c>
      <c r="J26" s="61" t="s">
        <v>45</v>
      </c>
      <c r="K26" s="87" t="s">
        <v>80</v>
      </c>
      <c r="L26" s="143" t="s">
        <v>158</v>
      </c>
      <c r="M26" s="62" t="s">
        <v>74</v>
      </c>
      <c r="N26" s="80" t="s">
        <v>75</v>
      </c>
      <c r="O26" s="93" t="s">
        <v>79</v>
      </c>
      <c r="P26" s="87" t="s">
        <v>80</v>
      </c>
      <c r="Q26" s="61" t="s">
        <v>81</v>
      </c>
      <c r="R26" s="64" t="s">
        <v>82</v>
      </c>
    </row>
    <row r="27" spans="2:18">
      <c r="B27" s="291"/>
      <c r="C27" s="72" t="s">
        <v>13</v>
      </c>
      <c r="D27" s="66">
        <f t="shared" ref="D27:F36" si="9">D14</f>
        <v>0</v>
      </c>
      <c r="E27" s="66" t="str">
        <f>E14</f>
        <v>国保加入期間なし</v>
      </c>
      <c r="F27" s="67">
        <f t="shared" si="9"/>
        <v>0</v>
      </c>
      <c r="G27" s="57">
        <f t="shared" ref="G27:G36" si="10">F27*G$4</f>
        <v>0</v>
      </c>
      <c r="H27" s="49">
        <f t="shared" ref="H27:H36" si="11">IF(E27=D$72,0,IF(E27=D$75,$G$5*J$5/2,$G$5*J$5))</f>
        <v>0</v>
      </c>
      <c r="I27" s="71">
        <f t="shared" ref="I27:I37" si="12">G27+H27</f>
        <v>0</v>
      </c>
      <c r="J27" s="68">
        <f t="shared" ref="J27:J37" si="13">J14</f>
        <v>0</v>
      </c>
      <c r="K27" s="69"/>
      <c r="L27" s="57">
        <f t="shared" ref="L27:L36" si="14">I27/12*J27</f>
        <v>0</v>
      </c>
      <c r="M27" s="85"/>
      <c r="N27" s="81"/>
      <c r="O27" s="94">
        <f t="shared" ref="O27:O36" si="15">ROUNDDOWN(G27/12*J27,0)</f>
        <v>0</v>
      </c>
      <c r="P27" s="70"/>
      <c r="Q27" s="84">
        <f t="shared" ref="Q27:Q36" si="16">H27/12*J27+O27</f>
        <v>0</v>
      </c>
      <c r="R27" s="74" t="e">
        <f>N37-SUM(R28:R36)</f>
        <v>#DIV/0!</v>
      </c>
    </row>
    <row r="28" spans="2:18">
      <c r="B28" s="291"/>
      <c r="C28" s="72" t="s">
        <v>14</v>
      </c>
      <c r="D28" s="66">
        <f t="shared" si="9"/>
        <v>0</v>
      </c>
      <c r="E28" s="66" t="str">
        <f t="shared" si="9"/>
        <v>国保加入期間なし</v>
      </c>
      <c r="F28" s="67">
        <f t="shared" si="9"/>
        <v>0</v>
      </c>
      <c r="G28" s="57">
        <f t="shared" si="10"/>
        <v>0</v>
      </c>
      <c r="H28" s="49">
        <f t="shared" si="11"/>
        <v>0</v>
      </c>
      <c r="I28" s="71">
        <f t="shared" si="12"/>
        <v>0</v>
      </c>
      <c r="J28" s="68">
        <f t="shared" si="13"/>
        <v>0</v>
      </c>
      <c r="K28" s="69"/>
      <c r="L28" s="57">
        <f t="shared" si="14"/>
        <v>0</v>
      </c>
      <c r="M28" s="85"/>
      <c r="N28" s="81"/>
      <c r="O28" s="94">
        <f t="shared" si="15"/>
        <v>0</v>
      </c>
      <c r="P28" s="70"/>
      <c r="Q28" s="84">
        <f t="shared" si="16"/>
        <v>0</v>
      </c>
      <c r="R28" s="74" t="e">
        <f t="shared" ref="R28:R36" si="17">ROUNDDOWN(Q28/Q$37*N$37,0)</f>
        <v>#DIV/0!</v>
      </c>
    </row>
    <row r="29" spans="2:18">
      <c r="B29" s="291"/>
      <c r="C29" s="72" t="s">
        <v>20</v>
      </c>
      <c r="D29" s="66">
        <f t="shared" si="9"/>
        <v>0</v>
      </c>
      <c r="E29" s="66" t="str">
        <f t="shared" si="9"/>
        <v>国保加入期間なし</v>
      </c>
      <c r="F29" s="67">
        <f t="shared" si="9"/>
        <v>0</v>
      </c>
      <c r="G29" s="57">
        <f t="shared" si="10"/>
        <v>0</v>
      </c>
      <c r="H29" s="49">
        <f t="shared" si="11"/>
        <v>0</v>
      </c>
      <c r="I29" s="71">
        <f t="shared" si="12"/>
        <v>0</v>
      </c>
      <c r="J29" s="68">
        <f t="shared" si="13"/>
        <v>0</v>
      </c>
      <c r="K29" s="69"/>
      <c r="L29" s="57">
        <f t="shared" si="14"/>
        <v>0</v>
      </c>
      <c r="M29" s="85"/>
      <c r="N29" s="81"/>
      <c r="O29" s="94">
        <f t="shared" si="15"/>
        <v>0</v>
      </c>
      <c r="P29" s="70"/>
      <c r="Q29" s="84">
        <f t="shared" si="16"/>
        <v>0</v>
      </c>
      <c r="R29" s="74" t="e">
        <f t="shared" si="17"/>
        <v>#DIV/0!</v>
      </c>
    </row>
    <row r="30" spans="2:18">
      <c r="B30" s="291"/>
      <c r="C30" s="72" t="s">
        <v>21</v>
      </c>
      <c r="D30" s="66">
        <f t="shared" si="9"/>
        <v>0</v>
      </c>
      <c r="E30" s="66" t="str">
        <f t="shared" si="9"/>
        <v>国保加入期間なし</v>
      </c>
      <c r="F30" s="67">
        <f t="shared" si="9"/>
        <v>0</v>
      </c>
      <c r="G30" s="57">
        <f t="shared" si="10"/>
        <v>0</v>
      </c>
      <c r="H30" s="49">
        <f t="shared" si="11"/>
        <v>0</v>
      </c>
      <c r="I30" s="71">
        <f t="shared" si="12"/>
        <v>0</v>
      </c>
      <c r="J30" s="68">
        <f t="shared" si="13"/>
        <v>0</v>
      </c>
      <c r="K30" s="69"/>
      <c r="L30" s="57">
        <f t="shared" si="14"/>
        <v>0</v>
      </c>
      <c r="M30" s="85"/>
      <c r="N30" s="81"/>
      <c r="O30" s="94">
        <f t="shared" si="15"/>
        <v>0</v>
      </c>
      <c r="P30" s="70"/>
      <c r="Q30" s="84">
        <f t="shared" si="16"/>
        <v>0</v>
      </c>
      <c r="R30" s="74" t="e">
        <f t="shared" si="17"/>
        <v>#DIV/0!</v>
      </c>
    </row>
    <row r="31" spans="2:18">
      <c r="B31" s="291"/>
      <c r="C31" s="72" t="s">
        <v>22</v>
      </c>
      <c r="D31" s="66">
        <f t="shared" si="9"/>
        <v>0</v>
      </c>
      <c r="E31" s="66" t="str">
        <f t="shared" si="9"/>
        <v>国保加入期間なし</v>
      </c>
      <c r="F31" s="67">
        <f t="shared" si="9"/>
        <v>0</v>
      </c>
      <c r="G31" s="57">
        <f t="shared" si="10"/>
        <v>0</v>
      </c>
      <c r="H31" s="49">
        <f t="shared" si="11"/>
        <v>0</v>
      </c>
      <c r="I31" s="71">
        <f t="shared" si="12"/>
        <v>0</v>
      </c>
      <c r="J31" s="68">
        <f t="shared" si="13"/>
        <v>0</v>
      </c>
      <c r="K31" s="69"/>
      <c r="L31" s="57">
        <f t="shared" si="14"/>
        <v>0</v>
      </c>
      <c r="M31" s="85"/>
      <c r="N31" s="81"/>
      <c r="O31" s="94">
        <f t="shared" si="15"/>
        <v>0</v>
      </c>
      <c r="P31" s="70"/>
      <c r="Q31" s="84">
        <f t="shared" si="16"/>
        <v>0</v>
      </c>
      <c r="R31" s="74" t="e">
        <f t="shared" si="17"/>
        <v>#DIV/0!</v>
      </c>
    </row>
    <row r="32" spans="2:18">
      <c r="B32" s="291"/>
      <c r="C32" s="72" t="s">
        <v>68</v>
      </c>
      <c r="D32" s="66">
        <f t="shared" si="9"/>
        <v>0</v>
      </c>
      <c r="E32" s="66" t="str">
        <f t="shared" si="9"/>
        <v>国保加入期間なし</v>
      </c>
      <c r="F32" s="67">
        <f t="shared" si="9"/>
        <v>0</v>
      </c>
      <c r="G32" s="57">
        <f t="shared" si="10"/>
        <v>0</v>
      </c>
      <c r="H32" s="49">
        <f t="shared" si="11"/>
        <v>0</v>
      </c>
      <c r="I32" s="71">
        <f t="shared" si="12"/>
        <v>0</v>
      </c>
      <c r="J32" s="68">
        <f t="shared" si="13"/>
        <v>0</v>
      </c>
      <c r="K32" s="69"/>
      <c r="L32" s="57">
        <f t="shared" si="14"/>
        <v>0</v>
      </c>
      <c r="M32" s="85"/>
      <c r="N32" s="81"/>
      <c r="O32" s="94">
        <f t="shared" si="15"/>
        <v>0</v>
      </c>
      <c r="P32" s="70"/>
      <c r="Q32" s="84">
        <f t="shared" si="16"/>
        <v>0</v>
      </c>
      <c r="R32" s="74" t="e">
        <f t="shared" si="17"/>
        <v>#DIV/0!</v>
      </c>
    </row>
    <row r="33" spans="2:19">
      <c r="B33" s="291"/>
      <c r="C33" s="72" t="s">
        <v>69</v>
      </c>
      <c r="D33" s="66">
        <f t="shared" si="9"/>
        <v>0</v>
      </c>
      <c r="E33" s="66" t="str">
        <f t="shared" si="9"/>
        <v>国保加入期間なし</v>
      </c>
      <c r="F33" s="67">
        <f t="shared" si="9"/>
        <v>0</v>
      </c>
      <c r="G33" s="57">
        <f t="shared" si="10"/>
        <v>0</v>
      </c>
      <c r="H33" s="49">
        <f t="shared" si="11"/>
        <v>0</v>
      </c>
      <c r="I33" s="71">
        <f t="shared" si="12"/>
        <v>0</v>
      </c>
      <c r="J33" s="68">
        <f t="shared" si="13"/>
        <v>0</v>
      </c>
      <c r="K33" s="69"/>
      <c r="L33" s="57">
        <f t="shared" si="14"/>
        <v>0</v>
      </c>
      <c r="M33" s="85"/>
      <c r="N33" s="81"/>
      <c r="O33" s="94">
        <f t="shared" si="15"/>
        <v>0</v>
      </c>
      <c r="P33" s="70"/>
      <c r="Q33" s="84">
        <f t="shared" si="16"/>
        <v>0</v>
      </c>
      <c r="R33" s="74" t="e">
        <f t="shared" si="17"/>
        <v>#DIV/0!</v>
      </c>
    </row>
    <row r="34" spans="2:19">
      <c r="B34" s="291"/>
      <c r="C34" s="72" t="s">
        <v>70</v>
      </c>
      <c r="D34" s="66">
        <f t="shared" si="9"/>
        <v>0</v>
      </c>
      <c r="E34" s="66" t="str">
        <f t="shared" si="9"/>
        <v>国保加入期間なし</v>
      </c>
      <c r="F34" s="67">
        <f t="shared" si="9"/>
        <v>0</v>
      </c>
      <c r="G34" s="57">
        <f t="shared" si="10"/>
        <v>0</v>
      </c>
      <c r="H34" s="49">
        <f t="shared" si="11"/>
        <v>0</v>
      </c>
      <c r="I34" s="71">
        <f t="shared" si="12"/>
        <v>0</v>
      </c>
      <c r="J34" s="68">
        <f t="shared" si="13"/>
        <v>0</v>
      </c>
      <c r="K34" s="69"/>
      <c r="L34" s="57">
        <f t="shared" si="14"/>
        <v>0</v>
      </c>
      <c r="M34" s="85"/>
      <c r="N34" s="81"/>
      <c r="O34" s="94">
        <f t="shared" si="15"/>
        <v>0</v>
      </c>
      <c r="P34" s="70"/>
      <c r="Q34" s="84">
        <f t="shared" si="16"/>
        <v>0</v>
      </c>
      <c r="R34" s="74" t="e">
        <f t="shared" si="17"/>
        <v>#DIV/0!</v>
      </c>
    </row>
    <row r="35" spans="2:19">
      <c r="B35" s="291"/>
      <c r="C35" s="72" t="s">
        <v>71</v>
      </c>
      <c r="D35" s="66">
        <f t="shared" si="9"/>
        <v>0</v>
      </c>
      <c r="E35" s="66" t="str">
        <f t="shared" si="9"/>
        <v>国保加入期間なし</v>
      </c>
      <c r="F35" s="67">
        <f t="shared" si="9"/>
        <v>0</v>
      </c>
      <c r="G35" s="57">
        <f t="shared" si="10"/>
        <v>0</v>
      </c>
      <c r="H35" s="49">
        <f t="shared" si="11"/>
        <v>0</v>
      </c>
      <c r="I35" s="71">
        <f t="shared" si="12"/>
        <v>0</v>
      </c>
      <c r="J35" s="68">
        <f t="shared" si="13"/>
        <v>0</v>
      </c>
      <c r="K35" s="69"/>
      <c r="L35" s="57">
        <f t="shared" si="14"/>
        <v>0</v>
      </c>
      <c r="M35" s="85"/>
      <c r="N35" s="81"/>
      <c r="O35" s="94">
        <f t="shared" si="15"/>
        <v>0</v>
      </c>
      <c r="P35" s="70"/>
      <c r="Q35" s="84">
        <f t="shared" si="16"/>
        <v>0</v>
      </c>
      <c r="R35" s="74" t="e">
        <f t="shared" si="17"/>
        <v>#DIV/0!</v>
      </c>
    </row>
    <row r="36" spans="2:19" ht="14.25" thickBot="1">
      <c r="B36" s="291"/>
      <c r="C36" s="72" t="s">
        <v>72</v>
      </c>
      <c r="D36" s="66">
        <f t="shared" si="9"/>
        <v>0</v>
      </c>
      <c r="E36" s="66" t="str">
        <f t="shared" si="9"/>
        <v>国保加入期間なし</v>
      </c>
      <c r="F36" s="67">
        <f t="shared" si="9"/>
        <v>0</v>
      </c>
      <c r="G36" s="57">
        <f t="shared" si="10"/>
        <v>0</v>
      </c>
      <c r="H36" s="49">
        <f t="shared" si="11"/>
        <v>0</v>
      </c>
      <c r="I36" s="71">
        <f t="shared" si="12"/>
        <v>0</v>
      </c>
      <c r="J36" s="68">
        <f t="shared" si="13"/>
        <v>0</v>
      </c>
      <c r="K36" s="69"/>
      <c r="L36" s="57">
        <f t="shared" si="14"/>
        <v>0</v>
      </c>
      <c r="M36" s="85"/>
      <c r="N36" s="82"/>
      <c r="O36" s="94">
        <f t="shared" si="15"/>
        <v>0</v>
      </c>
      <c r="P36" s="70"/>
      <c r="Q36" s="84">
        <f t="shared" si="16"/>
        <v>0</v>
      </c>
      <c r="R36" s="74" t="e">
        <f t="shared" si="17"/>
        <v>#DIV/0!</v>
      </c>
    </row>
    <row r="37" spans="2:19" ht="14.25" thickBot="1">
      <c r="B37" s="291"/>
      <c r="C37" s="292" t="s">
        <v>67</v>
      </c>
      <c r="D37" s="293"/>
      <c r="E37" s="294"/>
      <c r="F37" s="67">
        <f>F24</f>
        <v>0</v>
      </c>
      <c r="G37" s="57">
        <f>SUM(G27:G36)</f>
        <v>0</v>
      </c>
      <c r="H37" s="49">
        <f>SUM(H27:H36)</f>
        <v>0</v>
      </c>
      <c r="I37" s="71">
        <f t="shared" si="12"/>
        <v>0</v>
      </c>
      <c r="J37" s="68">
        <f t="shared" si="13"/>
        <v>0</v>
      </c>
      <c r="K37" s="70"/>
      <c r="L37" s="57">
        <f>SUM(L27:L36)</f>
        <v>0</v>
      </c>
      <c r="M37" s="63">
        <f>G7/12*J37</f>
        <v>0</v>
      </c>
      <c r="N37" s="83">
        <f>ROUNDDOWN(IF(L37&lt;M37,L37,M37),-2)</f>
        <v>0</v>
      </c>
      <c r="O37" s="95"/>
      <c r="P37" s="88"/>
      <c r="Q37" s="49">
        <f>SUM(Q27:Q36)</f>
        <v>0</v>
      </c>
      <c r="R37" s="86"/>
    </row>
    <row r="38" spans="2:19" ht="20.25" customHeight="1" thickBot="1">
      <c r="O38" s="91"/>
    </row>
    <row r="39" spans="2:19" ht="27">
      <c r="B39" s="291" t="s">
        <v>49</v>
      </c>
      <c r="C39" s="59"/>
      <c r="D39" s="75" t="s">
        <v>15</v>
      </c>
      <c r="E39" s="75" t="s">
        <v>55</v>
      </c>
      <c r="F39" s="75" t="s">
        <v>73</v>
      </c>
      <c r="G39" s="61" t="s">
        <v>159</v>
      </c>
      <c r="H39" s="61" t="s">
        <v>160</v>
      </c>
      <c r="I39" s="143" t="s">
        <v>157</v>
      </c>
      <c r="J39" s="61" t="s">
        <v>45</v>
      </c>
      <c r="K39" s="87" t="s">
        <v>80</v>
      </c>
      <c r="L39" s="143" t="s">
        <v>158</v>
      </c>
      <c r="M39" s="62" t="s">
        <v>74</v>
      </c>
      <c r="N39" s="80" t="s">
        <v>75</v>
      </c>
      <c r="O39" s="93" t="s">
        <v>79</v>
      </c>
      <c r="P39" s="87" t="s">
        <v>80</v>
      </c>
      <c r="Q39" s="61" t="s">
        <v>81</v>
      </c>
      <c r="R39" s="62" t="s">
        <v>77</v>
      </c>
      <c r="S39" s="64" t="s">
        <v>82</v>
      </c>
    </row>
    <row r="40" spans="2:19">
      <c r="B40" s="291"/>
      <c r="C40" s="72" t="s">
        <v>13</v>
      </c>
      <c r="D40" s="66">
        <f>D27</f>
        <v>0</v>
      </c>
      <c r="E40" s="66" t="str">
        <f t="shared" ref="E40" si="18">E27</f>
        <v>国保加入期間なし</v>
      </c>
      <c r="F40" s="49">
        <f>IF(E40=D$81,入力用!AE8,0)</f>
        <v>0</v>
      </c>
      <c r="G40" s="57">
        <f>F40*H4</f>
        <v>0</v>
      </c>
      <c r="H40" s="49">
        <f t="shared" ref="H40:H50" si="19">IF(E40=D$81,H$5*J$5,0)</f>
        <v>0</v>
      </c>
      <c r="I40" s="71">
        <f t="shared" ref="I40:I50" si="20">G40+H40</f>
        <v>0</v>
      </c>
      <c r="J40" s="145">
        <f>IF(E40=D$81,入力用!U$6,0)</f>
        <v>0</v>
      </c>
      <c r="K40" s="69"/>
      <c r="L40" s="57">
        <f t="shared" ref="L40:L49" si="21">I40/12*J40</f>
        <v>0</v>
      </c>
      <c r="M40" s="85"/>
      <c r="N40" s="81"/>
      <c r="O40" s="94">
        <f t="shared" ref="O40:O49" si="22">ROUNDDOWN(G40/12*J40,0)</f>
        <v>0</v>
      </c>
      <c r="P40" s="70"/>
      <c r="Q40" s="79">
        <f t="shared" ref="Q40:Q49" si="23">H40/12*J40+O40</f>
        <v>0</v>
      </c>
      <c r="R40" s="90" t="e">
        <f>ROUNDDOWN(Q40/Q$50*N$50,0)</f>
        <v>#DIV/0!</v>
      </c>
      <c r="S40" s="74" t="e">
        <f>IF(R40=0,0,R40+R$51)</f>
        <v>#DIV/0!</v>
      </c>
    </row>
    <row r="41" spans="2:19">
      <c r="B41" s="291"/>
      <c r="C41" s="72" t="s">
        <v>14</v>
      </c>
      <c r="D41" s="66">
        <f t="shared" ref="D41:E41" si="24">D28</f>
        <v>0</v>
      </c>
      <c r="E41" s="66" t="str">
        <f t="shared" si="24"/>
        <v>国保加入期間なし</v>
      </c>
      <c r="F41" s="49">
        <f>IF(E41=D$81,入力用!AE9,0)</f>
        <v>0</v>
      </c>
      <c r="G41" s="57">
        <f>F41*H4</f>
        <v>0</v>
      </c>
      <c r="H41" s="49">
        <f t="shared" si="19"/>
        <v>0</v>
      </c>
      <c r="I41" s="71">
        <f t="shared" si="20"/>
        <v>0</v>
      </c>
      <c r="J41" s="145">
        <f>IF(E41=D$81,入力用!U$6,0)</f>
        <v>0</v>
      </c>
      <c r="K41" s="69"/>
      <c r="L41" s="57">
        <f t="shared" si="21"/>
        <v>0</v>
      </c>
      <c r="M41" s="85"/>
      <c r="N41" s="81"/>
      <c r="O41" s="94">
        <f t="shared" si="22"/>
        <v>0</v>
      </c>
      <c r="P41" s="70"/>
      <c r="Q41" s="79">
        <f t="shared" si="23"/>
        <v>0</v>
      </c>
      <c r="R41" s="90" t="e">
        <f t="shared" ref="R41:R49" si="25">ROUNDDOWN(Q41/Q$50*N$50,0)</f>
        <v>#DIV/0!</v>
      </c>
      <c r="S41" s="74" t="e">
        <f>IF(R41=0,0,IF(R40=0,R41+R$51,R41))</f>
        <v>#DIV/0!</v>
      </c>
    </row>
    <row r="42" spans="2:19">
      <c r="B42" s="291"/>
      <c r="C42" s="72" t="s">
        <v>20</v>
      </c>
      <c r="D42" s="66">
        <f t="shared" ref="D42:E42" si="26">D29</f>
        <v>0</v>
      </c>
      <c r="E42" s="66" t="str">
        <f t="shared" si="26"/>
        <v>国保加入期間なし</v>
      </c>
      <c r="F42" s="49">
        <f>IF(E42=D$81,入力用!AE10,0)</f>
        <v>0</v>
      </c>
      <c r="G42" s="57">
        <f>F42*H4</f>
        <v>0</v>
      </c>
      <c r="H42" s="49">
        <f t="shared" si="19"/>
        <v>0</v>
      </c>
      <c r="I42" s="71">
        <f t="shared" si="20"/>
        <v>0</v>
      </c>
      <c r="J42" s="145">
        <f>IF(E42=D$81,入力用!U$6,0)</f>
        <v>0</v>
      </c>
      <c r="K42" s="69"/>
      <c r="L42" s="57">
        <f t="shared" si="21"/>
        <v>0</v>
      </c>
      <c r="M42" s="85"/>
      <c r="N42" s="81"/>
      <c r="O42" s="94">
        <f t="shared" si="22"/>
        <v>0</v>
      </c>
      <c r="P42" s="70"/>
      <c r="Q42" s="79">
        <f t="shared" si="23"/>
        <v>0</v>
      </c>
      <c r="R42" s="90" t="e">
        <f t="shared" si="25"/>
        <v>#DIV/0!</v>
      </c>
      <c r="S42" s="74" t="e">
        <f>IF(R42=0,0,IF(SUM(R$40:R41)=0,R42+R$51,R42))</f>
        <v>#DIV/0!</v>
      </c>
    </row>
    <row r="43" spans="2:19">
      <c r="B43" s="291"/>
      <c r="C43" s="72" t="s">
        <v>21</v>
      </c>
      <c r="D43" s="66">
        <f t="shared" ref="D43:E43" si="27">D30</f>
        <v>0</v>
      </c>
      <c r="E43" s="66" t="str">
        <f t="shared" si="27"/>
        <v>国保加入期間なし</v>
      </c>
      <c r="F43" s="49">
        <f>IF(E43=D$81,入力用!AE11,0)</f>
        <v>0</v>
      </c>
      <c r="G43" s="57">
        <f t="shared" ref="G43:G49" si="28">F43*H$4</f>
        <v>0</v>
      </c>
      <c r="H43" s="49">
        <f t="shared" si="19"/>
        <v>0</v>
      </c>
      <c r="I43" s="71">
        <f t="shared" si="20"/>
        <v>0</v>
      </c>
      <c r="J43" s="145">
        <f>IF(E43=D$81,入力用!U$6,0)</f>
        <v>0</v>
      </c>
      <c r="K43" s="69"/>
      <c r="L43" s="57">
        <f t="shared" si="21"/>
        <v>0</v>
      </c>
      <c r="M43" s="85"/>
      <c r="N43" s="81"/>
      <c r="O43" s="94">
        <f t="shared" si="22"/>
        <v>0</v>
      </c>
      <c r="P43" s="70"/>
      <c r="Q43" s="79">
        <f t="shared" si="23"/>
        <v>0</v>
      </c>
      <c r="R43" s="90" t="e">
        <f t="shared" si="25"/>
        <v>#DIV/0!</v>
      </c>
      <c r="S43" s="74" t="e">
        <f>IF(R43=0,0,IF(SUM(R$40:R42)=0,R43+R$51,R43))</f>
        <v>#DIV/0!</v>
      </c>
    </row>
    <row r="44" spans="2:19">
      <c r="B44" s="291"/>
      <c r="C44" s="72" t="s">
        <v>22</v>
      </c>
      <c r="D44" s="66">
        <f t="shared" ref="D44:E44" si="29">D31</f>
        <v>0</v>
      </c>
      <c r="E44" s="66" t="str">
        <f t="shared" si="29"/>
        <v>国保加入期間なし</v>
      </c>
      <c r="F44" s="49">
        <f>IF(E44=D$81,入力用!AE12,0)</f>
        <v>0</v>
      </c>
      <c r="G44" s="57">
        <f t="shared" si="28"/>
        <v>0</v>
      </c>
      <c r="H44" s="49">
        <f t="shared" si="19"/>
        <v>0</v>
      </c>
      <c r="I44" s="71">
        <f t="shared" si="20"/>
        <v>0</v>
      </c>
      <c r="J44" s="145">
        <f>IF(E44=D$81,入力用!U$6,0)</f>
        <v>0</v>
      </c>
      <c r="K44" s="69"/>
      <c r="L44" s="57">
        <f t="shared" si="21"/>
        <v>0</v>
      </c>
      <c r="M44" s="85"/>
      <c r="N44" s="81"/>
      <c r="O44" s="94">
        <f t="shared" si="22"/>
        <v>0</v>
      </c>
      <c r="P44" s="70"/>
      <c r="Q44" s="79">
        <f t="shared" si="23"/>
        <v>0</v>
      </c>
      <c r="R44" s="90" t="e">
        <f t="shared" si="25"/>
        <v>#DIV/0!</v>
      </c>
      <c r="S44" s="74" t="e">
        <f>IF(R44=0,0,IF(SUM(R$40:R43)=0,R44+R$51,R44))</f>
        <v>#DIV/0!</v>
      </c>
    </row>
    <row r="45" spans="2:19">
      <c r="B45" s="291"/>
      <c r="C45" s="72" t="s">
        <v>68</v>
      </c>
      <c r="D45" s="66">
        <f t="shared" ref="D45:E45" si="30">D32</f>
        <v>0</v>
      </c>
      <c r="E45" s="66" t="str">
        <f t="shared" si="30"/>
        <v>国保加入期間なし</v>
      </c>
      <c r="F45" s="49">
        <f>IF(E45=D$81,入力用!AE13,0)</f>
        <v>0</v>
      </c>
      <c r="G45" s="57">
        <f t="shared" si="28"/>
        <v>0</v>
      </c>
      <c r="H45" s="49">
        <f t="shared" si="19"/>
        <v>0</v>
      </c>
      <c r="I45" s="71">
        <f t="shared" si="20"/>
        <v>0</v>
      </c>
      <c r="J45" s="145">
        <f>IF(E45=D$81,入力用!U$6,0)</f>
        <v>0</v>
      </c>
      <c r="K45" s="69"/>
      <c r="L45" s="57">
        <f t="shared" si="21"/>
        <v>0</v>
      </c>
      <c r="M45" s="85"/>
      <c r="N45" s="81"/>
      <c r="O45" s="94">
        <f t="shared" si="22"/>
        <v>0</v>
      </c>
      <c r="P45" s="70"/>
      <c r="Q45" s="79">
        <f t="shared" si="23"/>
        <v>0</v>
      </c>
      <c r="R45" s="90" t="e">
        <f t="shared" si="25"/>
        <v>#DIV/0!</v>
      </c>
      <c r="S45" s="74" t="e">
        <f>IF(R45=0,0,IF(SUM(R$40:R44)=0,R45+R$51,R45))</f>
        <v>#DIV/0!</v>
      </c>
    </row>
    <row r="46" spans="2:19">
      <c r="B46" s="291"/>
      <c r="C46" s="72" t="s">
        <v>69</v>
      </c>
      <c r="D46" s="66">
        <f t="shared" ref="D46:E46" si="31">D33</f>
        <v>0</v>
      </c>
      <c r="E46" s="66" t="str">
        <f t="shared" si="31"/>
        <v>国保加入期間なし</v>
      </c>
      <c r="F46" s="49">
        <f>IF(E46=D$81,入力用!AE14,0)</f>
        <v>0</v>
      </c>
      <c r="G46" s="57">
        <f t="shared" si="28"/>
        <v>0</v>
      </c>
      <c r="H46" s="49">
        <f t="shared" si="19"/>
        <v>0</v>
      </c>
      <c r="I46" s="71">
        <f t="shared" si="20"/>
        <v>0</v>
      </c>
      <c r="J46" s="145">
        <f>IF(E46=D$81,入力用!U$6,0)</f>
        <v>0</v>
      </c>
      <c r="K46" s="69"/>
      <c r="L46" s="57">
        <f t="shared" si="21"/>
        <v>0</v>
      </c>
      <c r="M46" s="85"/>
      <c r="N46" s="81"/>
      <c r="O46" s="94">
        <f t="shared" si="22"/>
        <v>0</v>
      </c>
      <c r="P46" s="70"/>
      <c r="Q46" s="79">
        <f t="shared" si="23"/>
        <v>0</v>
      </c>
      <c r="R46" s="90" t="e">
        <f t="shared" si="25"/>
        <v>#DIV/0!</v>
      </c>
      <c r="S46" s="74" t="e">
        <f>IF(R46=0,0,IF(SUM(R$40:R45)=0,R46+R$51,R46))</f>
        <v>#DIV/0!</v>
      </c>
    </row>
    <row r="47" spans="2:19">
      <c r="B47" s="291"/>
      <c r="C47" s="72" t="s">
        <v>70</v>
      </c>
      <c r="D47" s="66">
        <f t="shared" ref="D47:E47" si="32">D34</f>
        <v>0</v>
      </c>
      <c r="E47" s="66" t="str">
        <f t="shared" si="32"/>
        <v>国保加入期間なし</v>
      </c>
      <c r="F47" s="49">
        <f>IF(E47=D$81,入力用!AE15,0)</f>
        <v>0</v>
      </c>
      <c r="G47" s="57">
        <f t="shared" si="28"/>
        <v>0</v>
      </c>
      <c r="H47" s="49">
        <f t="shared" si="19"/>
        <v>0</v>
      </c>
      <c r="I47" s="71">
        <f t="shared" si="20"/>
        <v>0</v>
      </c>
      <c r="J47" s="145">
        <f>IF(E47=D$81,入力用!U$6,0)</f>
        <v>0</v>
      </c>
      <c r="K47" s="69"/>
      <c r="L47" s="57">
        <f t="shared" si="21"/>
        <v>0</v>
      </c>
      <c r="M47" s="85"/>
      <c r="N47" s="81"/>
      <c r="O47" s="94">
        <f t="shared" si="22"/>
        <v>0</v>
      </c>
      <c r="P47" s="70"/>
      <c r="Q47" s="79">
        <f t="shared" si="23"/>
        <v>0</v>
      </c>
      <c r="R47" s="90" t="e">
        <f t="shared" si="25"/>
        <v>#DIV/0!</v>
      </c>
      <c r="S47" s="74" t="e">
        <f>IF(R47=0,0,IF(SUM(R$40:R46)=0,R47+R$51,R47))</f>
        <v>#DIV/0!</v>
      </c>
    </row>
    <row r="48" spans="2:19">
      <c r="B48" s="291"/>
      <c r="C48" s="72" t="s">
        <v>71</v>
      </c>
      <c r="D48" s="66">
        <f t="shared" ref="D48:E48" si="33">D35</f>
        <v>0</v>
      </c>
      <c r="E48" s="66" t="str">
        <f t="shared" si="33"/>
        <v>国保加入期間なし</v>
      </c>
      <c r="F48" s="49">
        <f>IF(E48=D$81,入力用!AE16,0)</f>
        <v>0</v>
      </c>
      <c r="G48" s="57">
        <f t="shared" si="28"/>
        <v>0</v>
      </c>
      <c r="H48" s="49">
        <f t="shared" si="19"/>
        <v>0</v>
      </c>
      <c r="I48" s="71">
        <f t="shared" si="20"/>
        <v>0</v>
      </c>
      <c r="J48" s="145">
        <f>IF(E48=D$81,入力用!U$6,0)</f>
        <v>0</v>
      </c>
      <c r="K48" s="69"/>
      <c r="L48" s="57">
        <f t="shared" si="21"/>
        <v>0</v>
      </c>
      <c r="M48" s="85"/>
      <c r="N48" s="81"/>
      <c r="O48" s="94">
        <f t="shared" si="22"/>
        <v>0</v>
      </c>
      <c r="P48" s="70"/>
      <c r="Q48" s="79">
        <f t="shared" si="23"/>
        <v>0</v>
      </c>
      <c r="R48" s="90" t="e">
        <f t="shared" si="25"/>
        <v>#DIV/0!</v>
      </c>
      <c r="S48" s="74" t="e">
        <f>IF(R48=0,0,IF(SUM(R$40:R47)=0,R48+R$51,R48))</f>
        <v>#DIV/0!</v>
      </c>
    </row>
    <row r="49" spans="2:19" ht="14.25" thickBot="1">
      <c r="B49" s="291"/>
      <c r="C49" s="72" t="s">
        <v>72</v>
      </c>
      <c r="D49" s="66">
        <f t="shared" ref="D49:E49" si="34">D36</f>
        <v>0</v>
      </c>
      <c r="E49" s="66" t="str">
        <f t="shared" si="34"/>
        <v>国保加入期間なし</v>
      </c>
      <c r="F49" s="49">
        <f>IF(E49=D$81,入力用!AE17,0)</f>
        <v>0</v>
      </c>
      <c r="G49" s="57">
        <f t="shared" si="28"/>
        <v>0</v>
      </c>
      <c r="H49" s="49">
        <f t="shared" si="19"/>
        <v>0</v>
      </c>
      <c r="I49" s="71">
        <f t="shared" si="20"/>
        <v>0</v>
      </c>
      <c r="J49" s="145">
        <f>IF(E49=D$81,入力用!U$6,0)</f>
        <v>0</v>
      </c>
      <c r="K49" s="69"/>
      <c r="L49" s="57">
        <f t="shared" si="21"/>
        <v>0</v>
      </c>
      <c r="M49" s="85"/>
      <c r="N49" s="82"/>
      <c r="O49" s="94">
        <f t="shared" si="22"/>
        <v>0</v>
      </c>
      <c r="P49" s="70"/>
      <c r="Q49" s="79">
        <f t="shared" si="23"/>
        <v>0</v>
      </c>
      <c r="R49" s="90" t="e">
        <f t="shared" si="25"/>
        <v>#DIV/0!</v>
      </c>
      <c r="S49" s="74" t="e">
        <f>IF(R49=0,0,IF(SUM(R$40:R48)=0,R49+R$51,R49))</f>
        <v>#DIV/0!</v>
      </c>
    </row>
    <row r="50" spans="2:19" ht="14.25" thickBot="1">
      <c r="B50" s="291"/>
      <c r="C50" s="292" t="s">
        <v>67</v>
      </c>
      <c r="D50" s="293"/>
      <c r="E50" s="294"/>
      <c r="F50" s="49">
        <f>SUM(F40:F49)</f>
        <v>0</v>
      </c>
      <c r="G50" s="57">
        <f>SUM(G40:G49)</f>
        <v>0</v>
      </c>
      <c r="H50" s="49">
        <f t="shared" si="19"/>
        <v>0</v>
      </c>
      <c r="I50" s="71">
        <f t="shared" si="20"/>
        <v>0</v>
      </c>
      <c r="J50" s="58">
        <f>MAX(J40:J49)</f>
        <v>0</v>
      </c>
      <c r="K50" s="70"/>
      <c r="L50" s="57">
        <f>SUM(L40:L49)</f>
        <v>0</v>
      </c>
      <c r="M50" s="63">
        <f>H7/12*J50</f>
        <v>0</v>
      </c>
      <c r="N50" s="83">
        <f>ROUNDDOWN(IF(L50&lt;M50,L50,M50),-2)</f>
        <v>0</v>
      </c>
      <c r="O50" s="95"/>
      <c r="P50" s="88"/>
      <c r="Q50" s="49">
        <f>SUM(Q40:Q49)</f>
        <v>0</v>
      </c>
      <c r="R50" s="76" t="e">
        <f>SUM(R40:R49)</f>
        <v>#DIV/0!</v>
      </c>
      <c r="S50" s="86"/>
    </row>
    <row r="51" spans="2:19">
      <c r="O51" s="91"/>
      <c r="R51" s="77" t="e">
        <f>N50-R50</f>
        <v>#DIV/0!</v>
      </c>
      <c r="S51" s="73"/>
    </row>
    <row r="52" spans="2:19" ht="14.25" thickBot="1">
      <c r="O52" s="91"/>
      <c r="R52" s="78" t="s">
        <v>76</v>
      </c>
      <c r="S52" s="73"/>
    </row>
    <row r="53" spans="2:19" ht="14.25" thickBot="1"/>
    <row r="54" spans="2:19" ht="27">
      <c r="B54" s="291" t="s">
        <v>202</v>
      </c>
      <c r="C54" s="59"/>
      <c r="D54" s="89" t="s">
        <v>15</v>
      </c>
      <c r="E54" s="89" t="s">
        <v>55</v>
      </c>
      <c r="F54" s="89" t="s">
        <v>73</v>
      </c>
      <c r="G54" s="61" t="s">
        <v>159</v>
      </c>
      <c r="H54" s="61" t="s">
        <v>160</v>
      </c>
      <c r="I54" s="143" t="s">
        <v>157</v>
      </c>
      <c r="J54" s="61" t="s">
        <v>45</v>
      </c>
      <c r="K54" s="87" t="s">
        <v>80</v>
      </c>
      <c r="L54" s="143" t="s">
        <v>158</v>
      </c>
      <c r="M54" s="62" t="s">
        <v>74</v>
      </c>
      <c r="N54" s="80" t="s">
        <v>75</v>
      </c>
      <c r="O54" s="93" t="s">
        <v>79</v>
      </c>
      <c r="P54" s="87" t="s">
        <v>80</v>
      </c>
      <c r="Q54" s="61" t="s">
        <v>81</v>
      </c>
      <c r="R54" s="64" t="s">
        <v>82</v>
      </c>
    </row>
    <row r="55" spans="2:19">
      <c r="B55" s="291"/>
      <c r="C55" s="183" t="s">
        <v>13</v>
      </c>
      <c r="D55" s="66">
        <f t="shared" ref="D55:D64" si="35">D40</f>
        <v>0</v>
      </c>
      <c r="E55" s="66" t="str">
        <f>IF(AND(D55&lt;B$87,D55&gt;1900/1/1),D$87,E14)</f>
        <v>国保加入期間なし</v>
      </c>
      <c r="F55" s="49">
        <f>IF(E55=D$87,入力用!AE8,0)</f>
        <v>0</v>
      </c>
      <c r="G55" s="57">
        <f>F55*$I$4</f>
        <v>0</v>
      </c>
      <c r="H55" s="49">
        <f t="shared" ref="H55:H64" si="36">IF(E55=D$72,0,IF(D55&lt;$B$87,$I$5*$J$5,0))</f>
        <v>0</v>
      </c>
      <c r="I55" s="71">
        <f>G55+H55</f>
        <v>0</v>
      </c>
      <c r="J55" s="145">
        <f>IF(E55=D$72,0,入力用!U$6)</f>
        <v>0</v>
      </c>
      <c r="K55" s="69"/>
      <c r="L55" s="57">
        <f t="shared" ref="L55:L64" si="37">I55/12*J55</f>
        <v>0</v>
      </c>
      <c r="M55" s="85"/>
      <c r="N55" s="81"/>
      <c r="O55" s="94">
        <f t="shared" ref="O55:O64" si="38">ROUNDDOWN(G55/12*J55,0)</f>
        <v>0</v>
      </c>
      <c r="P55" s="70"/>
      <c r="Q55" s="79">
        <f>H55/12*J55+O55</f>
        <v>0</v>
      </c>
      <c r="R55" s="74" t="e">
        <f>N65-SUM(R56:R64)</f>
        <v>#DIV/0!</v>
      </c>
    </row>
    <row r="56" spans="2:19">
      <c r="B56" s="291"/>
      <c r="C56" s="183" t="s">
        <v>14</v>
      </c>
      <c r="D56" s="66">
        <f t="shared" si="35"/>
        <v>0</v>
      </c>
      <c r="E56" s="66" t="str">
        <f t="shared" ref="E56:E64" si="39">IF(AND(D56&lt;B$87,D56&gt;1900/1/1),D$87,E15)</f>
        <v>国保加入期間なし</v>
      </c>
      <c r="F56" s="49">
        <f>IF(E56=D$87,入力用!AE9,0)</f>
        <v>0</v>
      </c>
      <c r="G56" s="57">
        <f t="shared" ref="G56:G64" si="40">F56*$I$4</f>
        <v>0</v>
      </c>
      <c r="H56" s="49">
        <f t="shared" si="36"/>
        <v>0</v>
      </c>
      <c r="I56" s="71">
        <f t="shared" ref="I56:I65" si="41">G56+H56</f>
        <v>0</v>
      </c>
      <c r="J56" s="145">
        <f>IF(E56=D$72,0,入力用!U$6)</f>
        <v>0</v>
      </c>
      <c r="K56" s="69"/>
      <c r="L56" s="57">
        <f t="shared" si="37"/>
        <v>0</v>
      </c>
      <c r="M56" s="85"/>
      <c r="N56" s="81"/>
      <c r="O56" s="94">
        <f t="shared" si="38"/>
        <v>0</v>
      </c>
      <c r="P56" s="70"/>
      <c r="Q56" s="79">
        <f t="shared" ref="Q56:Q64" si="42">H56/12*J56+O56</f>
        <v>0</v>
      </c>
      <c r="R56" s="74" t="e">
        <f>ROUNDDOWN(Q56/Q$65*N$65,0)</f>
        <v>#DIV/0!</v>
      </c>
    </row>
    <row r="57" spans="2:19">
      <c r="B57" s="291"/>
      <c r="C57" s="183" t="s">
        <v>20</v>
      </c>
      <c r="D57" s="66">
        <f t="shared" si="35"/>
        <v>0</v>
      </c>
      <c r="E57" s="66" t="str">
        <f t="shared" si="39"/>
        <v>国保加入期間なし</v>
      </c>
      <c r="F57" s="49">
        <f>IF(E57=D$87,入力用!AE10,0)</f>
        <v>0</v>
      </c>
      <c r="G57" s="57">
        <f>F57*$I$4</f>
        <v>0</v>
      </c>
      <c r="H57" s="49">
        <f t="shared" si="36"/>
        <v>0</v>
      </c>
      <c r="I57" s="71">
        <f t="shared" si="41"/>
        <v>0</v>
      </c>
      <c r="J57" s="145">
        <f>IF(E57=D$72,0,入力用!U$6)</f>
        <v>0</v>
      </c>
      <c r="K57" s="69"/>
      <c r="L57" s="57">
        <f t="shared" si="37"/>
        <v>0</v>
      </c>
      <c r="M57" s="85"/>
      <c r="N57" s="81"/>
      <c r="O57" s="94">
        <f t="shared" si="38"/>
        <v>0</v>
      </c>
      <c r="P57" s="70"/>
      <c r="Q57" s="79">
        <f t="shared" si="42"/>
        <v>0</v>
      </c>
      <c r="R57" s="74" t="e">
        <f t="shared" ref="R57:R64" si="43">ROUNDDOWN(Q57/Q$65*N$65,0)</f>
        <v>#DIV/0!</v>
      </c>
    </row>
    <row r="58" spans="2:19">
      <c r="B58" s="291"/>
      <c r="C58" s="183" t="s">
        <v>21</v>
      </c>
      <c r="D58" s="66">
        <f t="shared" si="35"/>
        <v>0</v>
      </c>
      <c r="E58" s="66" t="str">
        <f t="shared" si="39"/>
        <v>国保加入期間なし</v>
      </c>
      <c r="F58" s="49">
        <f>IF(E58=D$87,入力用!AE11,0)</f>
        <v>0</v>
      </c>
      <c r="G58" s="57">
        <f>F58*$I$4</f>
        <v>0</v>
      </c>
      <c r="H58" s="49">
        <f t="shared" si="36"/>
        <v>0</v>
      </c>
      <c r="I58" s="71">
        <f>G58+H58</f>
        <v>0</v>
      </c>
      <c r="J58" s="145">
        <f>IF(E58=D$72,0,入力用!U$6)</f>
        <v>0</v>
      </c>
      <c r="K58" s="69"/>
      <c r="L58" s="57">
        <f t="shared" si="37"/>
        <v>0</v>
      </c>
      <c r="M58" s="85"/>
      <c r="N58" s="81"/>
      <c r="O58" s="94">
        <f t="shared" si="38"/>
        <v>0</v>
      </c>
      <c r="P58" s="70"/>
      <c r="Q58" s="79">
        <f t="shared" si="42"/>
        <v>0</v>
      </c>
      <c r="R58" s="74" t="e">
        <f t="shared" si="43"/>
        <v>#DIV/0!</v>
      </c>
    </row>
    <row r="59" spans="2:19">
      <c r="B59" s="291"/>
      <c r="C59" s="183" t="s">
        <v>22</v>
      </c>
      <c r="D59" s="66">
        <f t="shared" si="35"/>
        <v>0</v>
      </c>
      <c r="E59" s="66" t="str">
        <f t="shared" si="39"/>
        <v>国保加入期間なし</v>
      </c>
      <c r="F59" s="49">
        <f>IF(E59=D$87,入力用!AE12,0)</f>
        <v>0</v>
      </c>
      <c r="G59" s="57">
        <f t="shared" si="40"/>
        <v>0</v>
      </c>
      <c r="H59" s="49">
        <f t="shared" si="36"/>
        <v>0</v>
      </c>
      <c r="I59" s="71">
        <f t="shared" si="41"/>
        <v>0</v>
      </c>
      <c r="J59" s="145">
        <f>IF(E59=D$72,0,入力用!U$6)</f>
        <v>0</v>
      </c>
      <c r="K59" s="69"/>
      <c r="L59" s="57">
        <f t="shared" si="37"/>
        <v>0</v>
      </c>
      <c r="M59" s="85"/>
      <c r="N59" s="81"/>
      <c r="O59" s="94">
        <f t="shared" si="38"/>
        <v>0</v>
      </c>
      <c r="P59" s="70"/>
      <c r="Q59" s="79">
        <f t="shared" si="42"/>
        <v>0</v>
      </c>
      <c r="R59" s="74" t="e">
        <f t="shared" si="43"/>
        <v>#DIV/0!</v>
      </c>
    </row>
    <row r="60" spans="2:19">
      <c r="B60" s="291"/>
      <c r="C60" s="183" t="s">
        <v>68</v>
      </c>
      <c r="D60" s="66">
        <f t="shared" si="35"/>
        <v>0</v>
      </c>
      <c r="E60" s="66" t="str">
        <f t="shared" si="39"/>
        <v>国保加入期間なし</v>
      </c>
      <c r="F60" s="49">
        <f>IF(E60=D$87,入力用!AE13,0)</f>
        <v>0</v>
      </c>
      <c r="G60" s="57">
        <f t="shared" si="40"/>
        <v>0</v>
      </c>
      <c r="H60" s="49">
        <f t="shared" si="36"/>
        <v>0</v>
      </c>
      <c r="I60" s="71">
        <f t="shared" si="41"/>
        <v>0</v>
      </c>
      <c r="J60" s="145">
        <f>IF(E60=D$72,0,入力用!U$6)</f>
        <v>0</v>
      </c>
      <c r="K60" s="69"/>
      <c r="L60" s="57">
        <f t="shared" si="37"/>
        <v>0</v>
      </c>
      <c r="M60" s="85"/>
      <c r="N60" s="81"/>
      <c r="O60" s="94">
        <f t="shared" si="38"/>
        <v>0</v>
      </c>
      <c r="P60" s="70"/>
      <c r="Q60" s="79">
        <f t="shared" si="42"/>
        <v>0</v>
      </c>
      <c r="R60" s="74" t="e">
        <f t="shared" si="43"/>
        <v>#DIV/0!</v>
      </c>
    </row>
    <row r="61" spans="2:19">
      <c r="B61" s="291"/>
      <c r="C61" s="183" t="s">
        <v>69</v>
      </c>
      <c r="D61" s="66">
        <f t="shared" si="35"/>
        <v>0</v>
      </c>
      <c r="E61" s="66" t="str">
        <f t="shared" si="39"/>
        <v>国保加入期間なし</v>
      </c>
      <c r="F61" s="49">
        <f>IF(E61=D$87,入力用!AE14,0)</f>
        <v>0</v>
      </c>
      <c r="G61" s="57">
        <f t="shared" si="40"/>
        <v>0</v>
      </c>
      <c r="H61" s="49">
        <f t="shared" si="36"/>
        <v>0</v>
      </c>
      <c r="I61" s="71">
        <f t="shared" si="41"/>
        <v>0</v>
      </c>
      <c r="J61" s="145">
        <f>IF(E61=D$72,0,入力用!U$6)</f>
        <v>0</v>
      </c>
      <c r="K61" s="69"/>
      <c r="L61" s="57">
        <f t="shared" si="37"/>
        <v>0</v>
      </c>
      <c r="M61" s="85"/>
      <c r="N61" s="81"/>
      <c r="O61" s="94">
        <f t="shared" si="38"/>
        <v>0</v>
      </c>
      <c r="P61" s="70"/>
      <c r="Q61" s="79">
        <f t="shared" si="42"/>
        <v>0</v>
      </c>
      <c r="R61" s="74" t="e">
        <f t="shared" si="43"/>
        <v>#DIV/0!</v>
      </c>
    </row>
    <row r="62" spans="2:19">
      <c r="B62" s="291"/>
      <c r="C62" s="183" t="s">
        <v>70</v>
      </c>
      <c r="D62" s="66">
        <f t="shared" si="35"/>
        <v>0</v>
      </c>
      <c r="E62" s="66" t="str">
        <f t="shared" si="39"/>
        <v>国保加入期間なし</v>
      </c>
      <c r="F62" s="49">
        <f>IF(E62=D$87,入力用!AE15,0)</f>
        <v>0</v>
      </c>
      <c r="G62" s="57">
        <f t="shared" si="40"/>
        <v>0</v>
      </c>
      <c r="H62" s="49">
        <f t="shared" si="36"/>
        <v>0</v>
      </c>
      <c r="I62" s="71">
        <f t="shared" si="41"/>
        <v>0</v>
      </c>
      <c r="J62" s="145">
        <f>IF(E62=D$72,0,入力用!U$6)</f>
        <v>0</v>
      </c>
      <c r="K62" s="69"/>
      <c r="L62" s="57">
        <f t="shared" si="37"/>
        <v>0</v>
      </c>
      <c r="M62" s="85"/>
      <c r="N62" s="81"/>
      <c r="O62" s="94">
        <f t="shared" si="38"/>
        <v>0</v>
      </c>
      <c r="P62" s="70"/>
      <c r="Q62" s="79">
        <f t="shared" si="42"/>
        <v>0</v>
      </c>
      <c r="R62" s="74" t="e">
        <f t="shared" si="43"/>
        <v>#DIV/0!</v>
      </c>
    </row>
    <row r="63" spans="2:19">
      <c r="B63" s="291"/>
      <c r="C63" s="183" t="s">
        <v>71</v>
      </c>
      <c r="D63" s="66">
        <f t="shared" si="35"/>
        <v>0</v>
      </c>
      <c r="E63" s="66" t="str">
        <f t="shared" si="39"/>
        <v>国保加入期間なし</v>
      </c>
      <c r="F63" s="49">
        <f>IF(E63=D$87,入力用!AE16,0)</f>
        <v>0</v>
      </c>
      <c r="G63" s="57">
        <f t="shared" si="40"/>
        <v>0</v>
      </c>
      <c r="H63" s="49">
        <f t="shared" si="36"/>
        <v>0</v>
      </c>
      <c r="I63" s="71">
        <f t="shared" si="41"/>
        <v>0</v>
      </c>
      <c r="J63" s="145">
        <f>IF(E63=D$72,0,入力用!U$6)</f>
        <v>0</v>
      </c>
      <c r="K63" s="69"/>
      <c r="L63" s="57">
        <f t="shared" si="37"/>
        <v>0</v>
      </c>
      <c r="M63" s="85"/>
      <c r="N63" s="81"/>
      <c r="O63" s="94">
        <f t="shared" si="38"/>
        <v>0</v>
      </c>
      <c r="P63" s="70"/>
      <c r="Q63" s="79">
        <f t="shared" si="42"/>
        <v>0</v>
      </c>
      <c r="R63" s="74" t="e">
        <f t="shared" si="43"/>
        <v>#DIV/0!</v>
      </c>
    </row>
    <row r="64" spans="2:19" ht="14.25" thickBot="1">
      <c r="B64" s="291"/>
      <c r="C64" s="183" t="s">
        <v>72</v>
      </c>
      <c r="D64" s="66">
        <f t="shared" si="35"/>
        <v>0</v>
      </c>
      <c r="E64" s="66" t="str">
        <f t="shared" si="39"/>
        <v>国保加入期間なし</v>
      </c>
      <c r="F64" s="49">
        <f>IF(E64=D$87,入力用!AE17,0)</f>
        <v>0</v>
      </c>
      <c r="G64" s="57">
        <f t="shared" si="40"/>
        <v>0</v>
      </c>
      <c r="H64" s="49">
        <f t="shared" si="36"/>
        <v>0</v>
      </c>
      <c r="I64" s="71">
        <f t="shared" si="41"/>
        <v>0</v>
      </c>
      <c r="J64" s="145">
        <f>IF(E64=D$72,0,入力用!U$6)</f>
        <v>0</v>
      </c>
      <c r="K64" s="69"/>
      <c r="L64" s="57">
        <f t="shared" si="37"/>
        <v>0</v>
      </c>
      <c r="M64" s="85"/>
      <c r="N64" s="82"/>
      <c r="O64" s="94">
        <f t="shared" si="38"/>
        <v>0</v>
      </c>
      <c r="P64" s="70"/>
      <c r="Q64" s="79">
        <f t="shared" si="42"/>
        <v>0</v>
      </c>
      <c r="R64" s="74" t="e">
        <f t="shared" si="43"/>
        <v>#DIV/0!</v>
      </c>
    </row>
    <row r="65" spans="2:19" ht="14.25" thickBot="1">
      <c r="B65" s="291"/>
      <c r="C65" s="292" t="s">
        <v>67</v>
      </c>
      <c r="D65" s="293"/>
      <c r="E65" s="294"/>
      <c r="F65" s="49">
        <f>SUM(F55:F64)</f>
        <v>0</v>
      </c>
      <c r="G65" s="57">
        <f>SUM(G55:G64)</f>
        <v>0</v>
      </c>
      <c r="H65" s="49">
        <f>SUM(H55:H64)</f>
        <v>0</v>
      </c>
      <c r="I65" s="71">
        <f t="shared" si="41"/>
        <v>0</v>
      </c>
      <c r="J65" s="58">
        <f>MAX(J55:J64)</f>
        <v>0</v>
      </c>
      <c r="K65" s="70"/>
      <c r="L65" s="57">
        <f>SUM(L55:L64)</f>
        <v>0</v>
      </c>
      <c r="M65" s="63">
        <f>I7/12*J65</f>
        <v>0</v>
      </c>
      <c r="N65" s="83">
        <f>ROUNDDOWN(IF(L65&lt;M65,L65,M65),-2)</f>
        <v>0</v>
      </c>
      <c r="O65" s="95"/>
      <c r="P65" s="88"/>
      <c r="Q65" s="49">
        <f>SUM(Q55:Q64)</f>
        <v>0</v>
      </c>
      <c r="R65" s="86"/>
    </row>
    <row r="66" spans="2:19">
      <c r="O66" s="91"/>
      <c r="R66" s="185"/>
      <c r="S66" s="73"/>
    </row>
    <row r="67" spans="2:19">
      <c r="O67" s="91"/>
      <c r="R67" s="184"/>
      <c r="S67" s="73"/>
    </row>
    <row r="70" spans="2:19" ht="19.5" customHeight="1">
      <c r="B70" s="100" t="s">
        <v>83</v>
      </c>
    </row>
    <row r="71" spans="2:19" ht="45.75" customHeight="1">
      <c r="B71" s="306" t="s">
        <v>65</v>
      </c>
      <c r="C71" s="307"/>
      <c r="D71" s="286" t="s">
        <v>84</v>
      </c>
      <c r="E71" s="287"/>
      <c r="F71" s="287"/>
      <c r="G71" s="287"/>
      <c r="H71" s="287"/>
      <c r="I71" s="287"/>
      <c r="J71" s="288"/>
    </row>
    <row r="72" spans="2:19" ht="18.75" customHeight="1">
      <c r="B72" s="295">
        <f>DATE(B4+1,4,1)</f>
        <v>46478</v>
      </c>
      <c r="C72" s="296"/>
      <c r="D72" s="98" t="s">
        <v>66</v>
      </c>
      <c r="E72" s="96"/>
      <c r="F72" s="96"/>
      <c r="G72" s="96"/>
      <c r="H72" s="96"/>
      <c r="I72" s="96"/>
      <c r="J72" s="97"/>
    </row>
    <row r="73" spans="2:19" ht="5.25" customHeight="1"/>
    <row r="74" spans="2:19" ht="45.75" customHeight="1">
      <c r="B74" s="284" t="s">
        <v>56</v>
      </c>
      <c r="C74" s="285"/>
      <c r="D74" s="286" t="s">
        <v>85</v>
      </c>
      <c r="E74" s="287"/>
      <c r="F74" s="287"/>
      <c r="G74" s="287"/>
      <c r="H74" s="287"/>
      <c r="I74" s="287"/>
      <c r="J74" s="288"/>
    </row>
    <row r="75" spans="2:19" ht="18.75" customHeight="1">
      <c r="B75" s="295">
        <f>DATE(B4-6,4,1)</f>
        <v>43922</v>
      </c>
      <c r="C75" s="296"/>
      <c r="D75" s="98" t="s">
        <v>61</v>
      </c>
      <c r="E75" s="96"/>
      <c r="F75" s="96"/>
      <c r="G75" s="96"/>
      <c r="H75" s="96"/>
      <c r="I75" s="96"/>
      <c r="J75" s="97"/>
    </row>
    <row r="76" spans="2:19" ht="5.25" customHeight="1"/>
    <row r="77" spans="2:19" ht="45.75" customHeight="1">
      <c r="B77" s="284" t="s">
        <v>59</v>
      </c>
      <c r="C77" s="285"/>
      <c r="D77" s="286" t="s">
        <v>86</v>
      </c>
      <c r="E77" s="287"/>
      <c r="F77" s="287"/>
      <c r="G77" s="287"/>
      <c r="H77" s="287"/>
      <c r="I77" s="287"/>
      <c r="J77" s="288"/>
    </row>
    <row r="78" spans="2:19" ht="18.75" customHeight="1">
      <c r="B78" s="289">
        <f>DATE(B4-39,4,1)</f>
        <v>31868</v>
      </c>
      <c r="C78" s="290"/>
      <c r="D78" s="98" t="s">
        <v>62</v>
      </c>
      <c r="E78" s="96"/>
      <c r="F78" s="96"/>
      <c r="G78" s="96"/>
      <c r="H78" s="96"/>
      <c r="I78" s="96"/>
      <c r="J78" s="97"/>
    </row>
    <row r="79" spans="2:19" ht="5.25" customHeight="1"/>
    <row r="80" spans="2:19" ht="45.75" customHeight="1">
      <c r="B80" s="284" t="s">
        <v>60</v>
      </c>
      <c r="C80" s="285"/>
      <c r="D80" s="286" t="s">
        <v>87</v>
      </c>
      <c r="E80" s="287"/>
      <c r="F80" s="287"/>
      <c r="G80" s="287"/>
      <c r="H80" s="287"/>
      <c r="I80" s="287"/>
      <c r="J80" s="288"/>
    </row>
    <row r="81" spans="2:23" ht="18.75" customHeight="1">
      <c r="B81" s="289">
        <f>DATE(B4-65,5,1)</f>
        <v>22402</v>
      </c>
      <c r="C81" s="290"/>
      <c r="D81" s="99" t="s">
        <v>64</v>
      </c>
      <c r="E81" s="96"/>
      <c r="F81" s="96"/>
      <c r="G81" s="96"/>
      <c r="H81" s="96"/>
      <c r="I81" s="96"/>
      <c r="J81" s="97"/>
    </row>
    <row r="82" spans="2:23" ht="5.25" customHeight="1"/>
    <row r="83" spans="2:23" ht="45.75" customHeight="1">
      <c r="B83" s="284" t="s">
        <v>63</v>
      </c>
      <c r="C83" s="285"/>
      <c r="D83" s="286" t="s">
        <v>88</v>
      </c>
      <c r="E83" s="287"/>
      <c r="F83" s="287"/>
      <c r="G83" s="287"/>
      <c r="H83" s="287"/>
      <c r="I83" s="287"/>
      <c r="J83" s="288"/>
    </row>
    <row r="84" spans="2:23" ht="18.75" customHeight="1">
      <c r="B84" s="289">
        <f>DATE(B4-75,5,1)</f>
        <v>18749</v>
      </c>
      <c r="C84" s="290"/>
      <c r="D84" s="98" t="s">
        <v>66</v>
      </c>
      <c r="E84" s="96"/>
      <c r="F84" s="96"/>
      <c r="G84" s="96"/>
      <c r="H84" s="96"/>
      <c r="I84" s="96"/>
      <c r="J84" s="97"/>
    </row>
    <row r="86" spans="2:23" ht="45.75" customHeight="1">
      <c r="B86" s="284" t="s">
        <v>196</v>
      </c>
      <c r="C86" s="285"/>
      <c r="D86" s="286" t="s">
        <v>197</v>
      </c>
      <c r="E86" s="287"/>
      <c r="F86" s="287"/>
      <c r="G86" s="287"/>
      <c r="H86" s="287"/>
      <c r="I86" s="287"/>
      <c r="J86" s="288"/>
    </row>
    <row r="87" spans="2:23" ht="18.75" customHeight="1">
      <c r="B87" s="289">
        <f>DATE(B4-17,4,1)</f>
        <v>39904</v>
      </c>
      <c r="C87" s="290"/>
      <c r="D87" s="98" t="s">
        <v>203</v>
      </c>
      <c r="E87" s="96"/>
      <c r="F87" s="96"/>
      <c r="G87" s="96"/>
      <c r="H87" s="96"/>
      <c r="I87" s="96"/>
      <c r="J87" s="97"/>
    </row>
    <row r="88" spans="2:23" ht="18.75" customHeight="1"/>
    <row r="89" spans="2:23" ht="18.75" customHeight="1"/>
    <row r="90" spans="2:23" ht="18.75" customHeight="1"/>
    <row r="91" spans="2:23" ht="18.75" customHeight="1"/>
    <row r="92" spans="2:23">
      <c r="W92" s="43"/>
    </row>
    <row r="93" spans="2:23">
      <c r="W93" s="43"/>
    </row>
    <row r="94" spans="2:23">
      <c r="W94" s="43"/>
    </row>
  </sheetData>
  <sheetProtection selectLockedCells="1" selectUnlockedCells="1"/>
  <mergeCells count="32">
    <mergeCell ref="D77:J77"/>
    <mergeCell ref="J3:K3"/>
    <mergeCell ref="J4:K4"/>
    <mergeCell ref="J5:K5"/>
    <mergeCell ref="B72:C72"/>
    <mergeCell ref="D71:J71"/>
    <mergeCell ref="B71:C71"/>
    <mergeCell ref="L3:M3"/>
    <mergeCell ref="B39:B50"/>
    <mergeCell ref="C50:E50"/>
    <mergeCell ref="B13:B24"/>
    <mergeCell ref="C24:E24"/>
    <mergeCell ref="B3:C3"/>
    <mergeCell ref="B26:B37"/>
    <mergeCell ref="C37:E37"/>
    <mergeCell ref="B4:C4"/>
    <mergeCell ref="B86:C86"/>
    <mergeCell ref="D86:J86"/>
    <mergeCell ref="B87:C87"/>
    <mergeCell ref="B54:B65"/>
    <mergeCell ref="C65:E65"/>
    <mergeCell ref="B75:C75"/>
    <mergeCell ref="B78:C78"/>
    <mergeCell ref="B81:C81"/>
    <mergeCell ref="B74:C74"/>
    <mergeCell ref="B77:C77"/>
    <mergeCell ref="B80:C80"/>
    <mergeCell ref="D74:J74"/>
    <mergeCell ref="B84:C84"/>
    <mergeCell ref="B83:C83"/>
    <mergeCell ref="D83:J83"/>
    <mergeCell ref="D80:J80"/>
  </mergeCells>
  <phoneticPr fontId="1"/>
  <pageMargins left="0.7" right="0.7" top="0.75" bottom="0.75" header="0.3" footer="0.3"/>
  <pageSetup paperSize="9" scale="70" fitToHeight="0"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1"/>
  </sheetPr>
  <dimension ref="B2:K16"/>
  <sheetViews>
    <sheetView showGridLines="0" zoomScale="85" zoomScaleNormal="85" workbookViewId="0">
      <selection activeCell="J6" sqref="J6"/>
    </sheetView>
  </sheetViews>
  <sheetFormatPr defaultRowHeight="21" customHeight="1"/>
  <cols>
    <col min="1" max="26" width="9" customWidth="1"/>
  </cols>
  <sheetData>
    <row r="2" spans="2:11" ht="21" customHeight="1">
      <c r="B2" s="1" t="s">
        <v>32</v>
      </c>
    </row>
    <row r="3" spans="2:11" ht="21" customHeight="1">
      <c r="B3" s="89" t="s">
        <v>154</v>
      </c>
      <c r="C3" s="49">
        <f>入力用!P38</f>
        <v>0</v>
      </c>
    </row>
    <row r="4" spans="2:11" ht="21" customHeight="1">
      <c r="B4" s="59"/>
      <c r="C4" s="89" t="s">
        <v>145</v>
      </c>
      <c r="D4" s="89" t="s">
        <v>146</v>
      </c>
      <c r="E4" s="89" t="s">
        <v>147</v>
      </c>
      <c r="F4" s="89" t="s">
        <v>148</v>
      </c>
      <c r="G4" s="89" t="s">
        <v>149</v>
      </c>
      <c r="H4" s="89" t="s">
        <v>150</v>
      </c>
      <c r="I4" s="89" t="s">
        <v>151</v>
      </c>
      <c r="J4" s="89" t="s">
        <v>152</v>
      </c>
      <c r="K4" s="89" t="s">
        <v>153</v>
      </c>
    </row>
    <row r="5" spans="2:11" ht="21" customHeight="1">
      <c r="B5" s="89">
        <v>4</v>
      </c>
      <c r="C5" s="141">
        <f>$C$3-SUM(D5:$K5)</f>
        <v>0</v>
      </c>
      <c r="D5" s="141">
        <f>$J5</f>
        <v>0</v>
      </c>
      <c r="E5" s="141">
        <f t="shared" ref="E5:H5" si="0">$J5</f>
        <v>0</v>
      </c>
      <c r="F5" s="141">
        <f t="shared" si="0"/>
        <v>0</v>
      </c>
      <c r="G5" s="141">
        <f t="shared" si="0"/>
        <v>0</v>
      </c>
      <c r="H5" s="141">
        <f t="shared" si="0"/>
        <v>0</v>
      </c>
      <c r="I5" s="141">
        <f>$J5</f>
        <v>0</v>
      </c>
      <c r="J5" s="141">
        <f>ROUNDDOWN(C$3/8,-3)</f>
        <v>0</v>
      </c>
      <c r="K5" s="142">
        <v>0</v>
      </c>
    </row>
    <row r="6" spans="2:11" ht="21" customHeight="1">
      <c r="B6" s="89">
        <v>5</v>
      </c>
      <c r="C6" s="141">
        <f>C5</f>
        <v>0</v>
      </c>
      <c r="D6" s="141">
        <f t="shared" ref="D6:J6" si="1">D5</f>
        <v>0</v>
      </c>
      <c r="E6" s="141">
        <f t="shared" si="1"/>
        <v>0</v>
      </c>
      <c r="F6" s="141">
        <f t="shared" si="1"/>
        <v>0</v>
      </c>
      <c r="G6" s="141">
        <f t="shared" si="1"/>
        <v>0</v>
      </c>
      <c r="H6" s="141">
        <f t="shared" si="1"/>
        <v>0</v>
      </c>
      <c r="I6" s="141">
        <f t="shared" si="1"/>
        <v>0</v>
      </c>
      <c r="J6" s="141">
        <f t="shared" si="1"/>
        <v>0</v>
      </c>
      <c r="K6" s="142">
        <v>0</v>
      </c>
    </row>
    <row r="7" spans="2:11" ht="21" customHeight="1">
      <c r="B7" s="89">
        <v>6</v>
      </c>
      <c r="C7" s="141">
        <f>C5</f>
        <v>0</v>
      </c>
      <c r="D7" s="141">
        <f t="shared" ref="D7:J7" si="2">D5</f>
        <v>0</v>
      </c>
      <c r="E7" s="141">
        <f t="shared" si="2"/>
        <v>0</v>
      </c>
      <c r="F7" s="141">
        <f t="shared" si="2"/>
        <v>0</v>
      </c>
      <c r="G7" s="141">
        <f t="shared" si="2"/>
        <v>0</v>
      </c>
      <c r="H7" s="141">
        <f t="shared" si="2"/>
        <v>0</v>
      </c>
      <c r="I7" s="141">
        <f t="shared" si="2"/>
        <v>0</v>
      </c>
      <c r="J7" s="141">
        <f t="shared" si="2"/>
        <v>0</v>
      </c>
      <c r="K7" s="142">
        <v>0</v>
      </c>
    </row>
    <row r="8" spans="2:11" ht="21" customHeight="1">
      <c r="B8" s="89">
        <v>7</v>
      </c>
      <c r="C8" s="142">
        <v>0</v>
      </c>
      <c r="D8" s="141">
        <f>$C$3-SUM(E8:$K8)</f>
        <v>0</v>
      </c>
      <c r="E8" s="141">
        <f t="shared" ref="E8:H10" si="3">$J8</f>
        <v>0</v>
      </c>
      <c r="F8" s="141">
        <f t="shared" si="3"/>
        <v>0</v>
      </c>
      <c r="G8" s="141">
        <f t="shared" si="3"/>
        <v>0</v>
      </c>
      <c r="H8" s="141">
        <f t="shared" si="3"/>
        <v>0</v>
      </c>
      <c r="I8" s="141">
        <f>$J8</f>
        <v>0</v>
      </c>
      <c r="J8" s="141">
        <f>ROUNDDOWN(C$3/7,-3)</f>
        <v>0</v>
      </c>
      <c r="K8" s="142">
        <v>0</v>
      </c>
    </row>
    <row r="9" spans="2:11" ht="21" customHeight="1">
      <c r="B9" s="89">
        <v>8</v>
      </c>
      <c r="C9" s="142">
        <v>0</v>
      </c>
      <c r="D9" s="142">
        <v>0</v>
      </c>
      <c r="E9" s="141">
        <f>$C$3-SUM(F9:$K9)</f>
        <v>0</v>
      </c>
      <c r="F9" s="141">
        <f t="shared" si="3"/>
        <v>0</v>
      </c>
      <c r="G9" s="141">
        <f t="shared" si="3"/>
        <v>0</v>
      </c>
      <c r="H9" s="141">
        <f t="shared" si="3"/>
        <v>0</v>
      </c>
      <c r="I9" s="141">
        <f>$J9</f>
        <v>0</v>
      </c>
      <c r="J9" s="141">
        <f>ROUNDDOWN(C$3/6,-3)</f>
        <v>0</v>
      </c>
      <c r="K9" s="142">
        <v>0</v>
      </c>
    </row>
    <row r="10" spans="2:11" ht="21" customHeight="1">
      <c r="B10" s="89">
        <v>9</v>
      </c>
      <c r="C10" s="142">
        <v>0</v>
      </c>
      <c r="D10" s="142">
        <v>0</v>
      </c>
      <c r="E10" s="142">
        <v>0</v>
      </c>
      <c r="F10" s="141">
        <f>$C$3-SUM(G10:$K10)</f>
        <v>0</v>
      </c>
      <c r="G10" s="141">
        <f t="shared" si="3"/>
        <v>0</v>
      </c>
      <c r="H10" s="141">
        <f t="shared" si="3"/>
        <v>0</v>
      </c>
      <c r="I10" s="141">
        <f>$J10</f>
        <v>0</v>
      </c>
      <c r="J10" s="141">
        <f>ROUNDDOWN(C$3/5,-3)</f>
        <v>0</v>
      </c>
      <c r="K10" s="142">
        <v>0</v>
      </c>
    </row>
    <row r="11" spans="2:11" ht="21" customHeight="1">
      <c r="B11" s="89">
        <v>10</v>
      </c>
      <c r="C11" s="142">
        <v>0</v>
      </c>
      <c r="D11" s="142">
        <v>0</v>
      </c>
      <c r="E11" s="142">
        <v>0</v>
      </c>
      <c r="F11" s="142">
        <v>0</v>
      </c>
      <c r="G11" s="141">
        <f>$C$3-SUM(H11:$K11)</f>
        <v>0</v>
      </c>
      <c r="H11" s="141">
        <f>$J11</f>
        <v>0</v>
      </c>
      <c r="I11" s="141">
        <f>$J11</f>
        <v>0</v>
      </c>
      <c r="J11" s="141">
        <f>ROUNDDOWN(C$3/4,-3)</f>
        <v>0</v>
      </c>
      <c r="K11" s="142">
        <v>0</v>
      </c>
    </row>
    <row r="12" spans="2:11" ht="21" customHeight="1">
      <c r="B12" s="89">
        <v>11</v>
      </c>
      <c r="C12" s="142">
        <v>0</v>
      </c>
      <c r="D12" s="142">
        <v>0</v>
      </c>
      <c r="E12" s="142">
        <v>0</v>
      </c>
      <c r="F12" s="142">
        <v>0</v>
      </c>
      <c r="G12" s="142">
        <v>0</v>
      </c>
      <c r="H12" s="141">
        <f>$C$3-SUM(I12:$K12)</f>
        <v>0</v>
      </c>
      <c r="I12" s="141">
        <f>J12</f>
        <v>0</v>
      </c>
      <c r="J12" s="141">
        <f>ROUNDDOWN(C$3/3,-3)</f>
        <v>0</v>
      </c>
      <c r="K12" s="142">
        <v>0</v>
      </c>
    </row>
    <row r="13" spans="2:11" ht="21" customHeight="1">
      <c r="B13" s="89">
        <v>12</v>
      </c>
      <c r="C13" s="142">
        <v>0</v>
      </c>
      <c r="D13" s="142">
        <v>0</v>
      </c>
      <c r="E13" s="142">
        <v>0</v>
      </c>
      <c r="F13" s="142">
        <v>0</v>
      </c>
      <c r="G13" s="142">
        <v>0</v>
      </c>
      <c r="H13" s="142">
        <v>0</v>
      </c>
      <c r="I13" s="141">
        <f>$C$3-SUM(J13:$K13)</f>
        <v>0</v>
      </c>
      <c r="J13" s="141">
        <f>ROUNDDOWN(C$3/2,-3)</f>
        <v>0</v>
      </c>
      <c r="K13" s="142">
        <v>0</v>
      </c>
    </row>
    <row r="14" spans="2:11" ht="21" customHeight="1">
      <c r="B14" s="89" t="s">
        <v>142</v>
      </c>
      <c r="C14" s="142">
        <v>0</v>
      </c>
      <c r="D14" s="142">
        <v>0</v>
      </c>
      <c r="E14" s="142">
        <v>0</v>
      </c>
      <c r="F14" s="142">
        <v>0</v>
      </c>
      <c r="G14" s="142">
        <v>0</v>
      </c>
      <c r="H14" s="142">
        <v>0</v>
      </c>
      <c r="I14" s="142">
        <v>0</v>
      </c>
      <c r="J14" s="141">
        <f>C3</f>
        <v>0</v>
      </c>
      <c r="K14" s="142">
        <v>0</v>
      </c>
    </row>
    <row r="15" spans="2:11" ht="21" customHeight="1">
      <c r="B15" s="89" t="s">
        <v>143</v>
      </c>
      <c r="C15" s="142">
        <v>0</v>
      </c>
      <c r="D15" s="142">
        <v>0</v>
      </c>
      <c r="E15" s="142">
        <v>0</v>
      </c>
      <c r="F15" s="142">
        <v>0</v>
      </c>
      <c r="G15" s="142">
        <v>0</v>
      </c>
      <c r="H15" s="142">
        <v>0</v>
      </c>
      <c r="I15" s="142">
        <v>0</v>
      </c>
      <c r="J15" s="142">
        <v>0</v>
      </c>
      <c r="K15" s="141">
        <f>C3</f>
        <v>0</v>
      </c>
    </row>
    <row r="16" spans="2:11" ht="21" customHeight="1">
      <c r="B16" s="89" t="s">
        <v>144</v>
      </c>
      <c r="C16" s="142">
        <v>0</v>
      </c>
      <c r="D16" s="142">
        <v>0</v>
      </c>
      <c r="E16" s="142">
        <v>0</v>
      </c>
      <c r="F16" s="142">
        <v>0</v>
      </c>
      <c r="G16" s="142">
        <v>0</v>
      </c>
      <c r="H16" s="142">
        <v>0</v>
      </c>
      <c r="I16" s="142">
        <v>0</v>
      </c>
      <c r="J16" s="142">
        <v>0</v>
      </c>
      <c r="K16" s="141">
        <f>C3</f>
        <v>0</v>
      </c>
    </row>
  </sheetData>
  <sheetProtection selectLockedCells="1" selectUnlockedCells="1"/>
  <phoneticPr fontId="1"/>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1"/>
  </sheetPr>
  <dimension ref="B1:U12"/>
  <sheetViews>
    <sheetView showGridLines="0" zoomScale="85" zoomScaleNormal="85" workbookViewId="0">
      <selection activeCell="K13" sqref="K13"/>
    </sheetView>
  </sheetViews>
  <sheetFormatPr defaultColWidth="9" defaultRowHeight="20.25" customHeight="1"/>
  <cols>
    <col min="1" max="1" width="2.5" style="1" customWidth="1"/>
    <col min="2" max="2" width="10" style="1" customWidth="1"/>
    <col min="3" max="3" width="3.875" style="1" customWidth="1"/>
    <col min="4" max="4" width="10" style="1" customWidth="1"/>
    <col min="5" max="5" width="5.75" style="3" customWidth="1"/>
    <col min="6" max="6" width="4.5" style="3" customWidth="1"/>
    <col min="7" max="7" width="4.375" style="4" customWidth="1"/>
    <col min="8" max="8" width="4.5" style="1" customWidth="1"/>
    <col min="9" max="9" width="3.5" style="2" customWidth="1"/>
    <col min="10" max="10" width="11" style="1" customWidth="1"/>
    <col min="11" max="15" width="11.125" style="1" customWidth="1"/>
    <col min="16" max="20" width="11.25" style="1" customWidth="1"/>
    <col min="21" max="26" width="9" style="1" customWidth="1"/>
    <col min="27" max="16384" width="9" style="1"/>
  </cols>
  <sheetData>
    <row r="1" spans="2:21" ht="20.25" customHeight="1">
      <c r="I1" s="45"/>
    </row>
    <row r="2" spans="2:21" ht="20.25" customHeight="1">
      <c r="B2" s="1" t="s">
        <v>32</v>
      </c>
    </row>
    <row r="3" spans="2:21" ht="20.25" customHeight="1" thickBot="1">
      <c r="B3" s="46" t="s">
        <v>57</v>
      </c>
      <c r="C3" s="316">
        <f>入力用!S2</f>
        <v>2026</v>
      </c>
      <c r="D3" s="316"/>
      <c r="K3" s="32" t="s">
        <v>13</v>
      </c>
      <c r="L3" s="32" t="s">
        <v>14</v>
      </c>
      <c r="M3" s="32" t="s">
        <v>20</v>
      </c>
      <c r="N3" s="32" t="s">
        <v>21</v>
      </c>
      <c r="O3" s="32" t="s">
        <v>22</v>
      </c>
      <c r="P3" s="32" t="s">
        <v>68</v>
      </c>
      <c r="Q3" s="32" t="s">
        <v>69</v>
      </c>
      <c r="R3" s="32" t="s">
        <v>70</v>
      </c>
      <c r="S3" s="32" t="s">
        <v>71</v>
      </c>
      <c r="T3" s="32" t="s">
        <v>72</v>
      </c>
      <c r="U3" s="32" t="s">
        <v>183</v>
      </c>
    </row>
    <row r="4" spans="2:21" ht="20.25" customHeight="1" thickBot="1">
      <c r="B4"/>
      <c r="C4"/>
      <c r="D4"/>
      <c r="E4"/>
      <c r="F4"/>
      <c r="G4"/>
      <c r="H4" s="313" t="s">
        <v>31</v>
      </c>
      <c r="I4" s="314"/>
      <c r="J4" s="315"/>
      <c r="K4" s="30">
        <f>入力用!$L8</f>
        <v>0</v>
      </c>
      <c r="L4" s="30">
        <f>入力用!$L9</f>
        <v>0</v>
      </c>
      <c r="M4" s="30">
        <f>入力用!$L10</f>
        <v>0</v>
      </c>
      <c r="N4" s="30">
        <f>入力用!$L11</f>
        <v>0</v>
      </c>
      <c r="O4" s="50">
        <f>入力用!$L12</f>
        <v>0</v>
      </c>
      <c r="P4" s="30">
        <f>入力用!$L13</f>
        <v>0</v>
      </c>
      <c r="Q4" s="30">
        <f>入力用!$L14</f>
        <v>0</v>
      </c>
      <c r="R4" s="30">
        <f>入力用!$L15</f>
        <v>0</v>
      </c>
      <c r="S4" s="30">
        <f>入力用!$L16</f>
        <v>0</v>
      </c>
      <c r="T4" s="51">
        <f>入力用!$L17</f>
        <v>0</v>
      </c>
      <c r="U4" s="51">
        <f>入力用!$L18</f>
        <v>0</v>
      </c>
    </row>
    <row r="5" spans="2:21" ht="20.25" customHeight="1">
      <c r="B5" s="308" t="s">
        <v>5</v>
      </c>
      <c r="C5" s="309"/>
      <c r="D5" s="310"/>
      <c r="E5" s="308" t="s">
        <v>23</v>
      </c>
      <c r="F5" s="309"/>
      <c r="G5" s="309"/>
      <c r="H5" s="311"/>
      <c r="I5" s="311"/>
      <c r="J5" s="312"/>
      <c r="K5" s="317" t="s">
        <v>24</v>
      </c>
      <c r="L5" s="318"/>
      <c r="M5" s="318"/>
      <c r="N5" s="318"/>
      <c r="O5" s="318"/>
      <c r="P5" s="318"/>
      <c r="Q5" s="318"/>
      <c r="R5" s="318"/>
      <c r="S5" s="318"/>
      <c r="T5" s="318"/>
      <c r="U5" s="318"/>
    </row>
    <row r="6" spans="2:21" ht="20.25" customHeight="1">
      <c r="B6" s="9">
        <v>0</v>
      </c>
      <c r="C6" s="24" t="s">
        <v>6</v>
      </c>
      <c r="D6" s="10">
        <f>B7-1</f>
        <v>650999</v>
      </c>
      <c r="E6" s="25"/>
      <c r="F6" s="26"/>
      <c r="G6" s="27"/>
      <c r="H6" s="28"/>
      <c r="I6" s="24"/>
      <c r="J6" s="20">
        <v>0</v>
      </c>
      <c r="K6" s="22">
        <f>$J6</f>
        <v>0</v>
      </c>
      <c r="L6" s="22">
        <f>$J6</f>
        <v>0</v>
      </c>
      <c r="M6" s="22">
        <f>$J6</f>
        <v>0</v>
      </c>
      <c r="N6" s="22">
        <f>$J6</f>
        <v>0</v>
      </c>
      <c r="O6" s="22">
        <f>$J6</f>
        <v>0</v>
      </c>
      <c r="P6" s="22">
        <f t="shared" ref="P6:S6" si="0">$J6</f>
        <v>0</v>
      </c>
      <c r="Q6" s="22">
        <f t="shared" si="0"/>
        <v>0</v>
      </c>
      <c r="R6" s="22">
        <f t="shared" si="0"/>
        <v>0</v>
      </c>
      <c r="S6" s="22">
        <f t="shared" si="0"/>
        <v>0</v>
      </c>
      <c r="T6" s="22">
        <f>$J6</f>
        <v>0</v>
      </c>
      <c r="U6" s="22">
        <f>$J6</f>
        <v>0</v>
      </c>
    </row>
    <row r="7" spans="2:21" ht="20.25" customHeight="1">
      <c r="B7" s="9">
        <v>651000</v>
      </c>
      <c r="C7" s="24" t="s">
        <v>6</v>
      </c>
      <c r="D7" s="10">
        <f t="shared" ref="D7:D10" si="1">B8-1</f>
        <v>1899999</v>
      </c>
      <c r="E7" s="25"/>
      <c r="F7" s="26"/>
      <c r="G7" s="27"/>
      <c r="H7" s="24" t="s">
        <v>11</v>
      </c>
      <c r="I7" s="5" t="s">
        <v>10</v>
      </c>
      <c r="J7" s="20">
        <v>-650000</v>
      </c>
      <c r="K7" s="22">
        <f>IF(AND(K4&gt;$D6,K4&lt;$B8),K4+$J7,0)</f>
        <v>0</v>
      </c>
      <c r="L7" s="22">
        <f>IF(AND(L4&gt;$D6,L4&lt;$B8),L4+$J7,0)</f>
        <v>0</v>
      </c>
      <c r="M7" s="22">
        <f>IF(AND(M4&gt;$D6,M4&lt;$B8),M4+$J7,0)</f>
        <v>0</v>
      </c>
      <c r="N7" s="22">
        <f>IF(AND(N4&gt;$D6,N4&lt;$B8),N4+$J7,0)</f>
        <v>0</v>
      </c>
      <c r="O7" s="22">
        <f>IF(AND(O4&gt;$D6,O4&lt;$B8),O4+$J7,0)</f>
        <v>0</v>
      </c>
      <c r="P7" s="22">
        <f t="shared" ref="P7:S7" si="2">IF(AND(P4&gt;$D6,P4&lt;$B8),P4+$J7,0)</f>
        <v>0</v>
      </c>
      <c r="Q7" s="22">
        <f t="shared" si="2"/>
        <v>0</v>
      </c>
      <c r="R7" s="22">
        <f t="shared" si="2"/>
        <v>0</v>
      </c>
      <c r="S7" s="22">
        <f t="shared" si="2"/>
        <v>0</v>
      </c>
      <c r="T7" s="22">
        <f>IF(AND(T4&gt;$D6,T4&lt;$B8),T4+$J7,0)</f>
        <v>0</v>
      </c>
      <c r="U7" s="22">
        <f>IF(AND(U4&gt;$D6,U4&lt;$B8),U4+$J7,0)</f>
        <v>0</v>
      </c>
    </row>
    <row r="8" spans="2:21" ht="20.25" customHeight="1">
      <c r="B8" s="9">
        <v>1900000</v>
      </c>
      <c r="C8" s="24" t="s">
        <v>6</v>
      </c>
      <c r="D8" s="10">
        <f t="shared" si="1"/>
        <v>3599999</v>
      </c>
      <c r="E8" s="12" t="s">
        <v>7</v>
      </c>
      <c r="F8" s="186">
        <v>4</v>
      </c>
      <c r="G8" s="6" t="s">
        <v>9</v>
      </c>
      <c r="H8" s="7">
        <v>2.8</v>
      </c>
      <c r="I8" s="5" t="s">
        <v>10</v>
      </c>
      <c r="J8" s="20">
        <v>-80000</v>
      </c>
      <c r="K8" s="22">
        <f>IF(AND(K4&gt;$D7,K4&lt;$B9),ROUNDDOWN(K4/$F8,-3)*$H8+$J8,0)</f>
        <v>0</v>
      </c>
      <c r="L8" s="22">
        <f>IF(AND(L4&gt;$D7,L4&lt;$B9),ROUNDDOWN(L4/$F8,-3)*$H8+$J8,0)</f>
        <v>0</v>
      </c>
      <c r="M8" s="22">
        <f t="shared" ref="M8:U8" si="3">IF(AND(M4&gt;$D7,M4&lt;$B9),ROUNDDOWN(M4/$F8,-3)*$H8+$J8,0)</f>
        <v>0</v>
      </c>
      <c r="N8" s="22">
        <f t="shared" si="3"/>
        <v>0</v>
      </c>
      <c r="O8" s="22">
        <f t="shared" si="3"/>
        <v>0</v>
      </c>
      <c r="P8" s="22">
        <f t="shared" si="3"/>
        <v>0</v>
      </c>
      <c r="Q8" s="22">
        <f t="shared" si="3"/>
        <v>0</v>
      </c>
      <c r="R8" s="22">
        <f t="shared" si="3"/>
        <v>0</v>
      </c>
      <c r="S8" s="22">
        <f t="shared" si="3"/>
        <v>0</v>
      </c>
      <c r="T8" s="22">
        <f t="shared" si="3"/>
        <v>0</v>
      </c>
      <c r="U8" s="22">
        <f t="shared" si="3"/>
        <v>0</v>
      </c>
    </row>
    <row r="9" spans="2:21" ht="20.25" customHeight="1">
      <c r="B9" s="9">
        <v>3600000</v>
      </c>
      <c r="C9" s="24" t="s">
        <v>6</v>
      </c>
      <c r="D9" s="10">
        <f t="shared" si="1"/>
        <v>6599999</v>
      </c>
      <c r="E9" s="12" t="s">
        <v>7</v>
      </c>
      <c r="F9" s="186">
        <v>4</v>
      </c>
      <c r="G9" s="6" t="s">
        <v>9</v>
      </c>
      <c r="H9" s="7">
        <v>3.2</v>
      </c>
      <c r="I9" s="5" t="s">
        <v>10</v>
      </c>
      <c r="J9" s="20">
        <v>-440000</v>
      </c>
      <c r="K9" s="22">
        <f>IF(AND(K4&gt;$D8,K4&lt;$B10),ROUNDDOWN(K4/$F9,-3)*$H9+$J9,0)</f>
        <v>0</v>
      </c>
      <c r="L9" s="22">
        <f t="shared" ref="L9:U9" si="4">IF(AND(L4&gt;$D8,L4&lt;$B10),ROUNDDOWN(L4/$F9,-3)*$H9+$J9,0)</f>
        <v>0</v>
      </c>
      <c r="M9" s="22">
        <f t="shared" si="4"/>
        <v>0</v>
      </c>
      <c r="N9" s="22">
        <f t="shared" si="4"/>
        <v>0</v>
      </c>
      <c r="O9" s="22">
        <f t="shared" si="4"/>
        <v>0</v>
      </c>
      <c r="P9" s="22">
        <f t="shared" si="4"/>
        <v>0</v>
      </c>
      <c r="Q9" s="22">
        <f t="shared" si="4"/>
        <v>0</v>
      </c>
      <c r="R9" s="22">
        <f t="shared" si="4"/>
        <v>0</v>
      </c>
      <c r="S9" s="22">
        <f t="shared" si="4"/>
        <v>0</v>
      </c>
      <c r="T9" s="22">
        <f t="shared" si="4"/>
        <v>0</v>
      </c>
      <c r="U9" s="22">
        <f t="shared" si="4"/>
        <v>0</v>
      </c>
    </row>
    <row r="10" spans="2:21" ht="20.25" customHeight="1">
      <c r="B10" s="9">
        <v>6600000</v>
      </c>
      <c r="C10" s="24" t="s">
        <v>6</v>
      </c>
      <c r="D10" s="10">
        <f t="shared" si="1"/>
        <v>8499999</v>
      </c>
      <c r="E10" s="12" t="s">
        <v>12</v>
      </c>
      <c r="F10" s="8">
        <v>0.9</v>
      </c>
      <c r="G10" s="27" t="s">
        <v>8</v>
      </c>
      <c r="H10" s="29"/>
      <c r="I10" s="5" t="s">
        <v>10</v>
      </c>
      <c r="J10" s="20">
        <v>-1100000</v>
      </c>
      <c r="K10" s="22">
        <f>IF(AND(K4&gt;$D9,K4&lt;$B11),ROUNDDOWN(K4*$F10+$J10,0),0)</f>
        <v>0</v>
      </c>
      <c r="L10" s="22">
        <f t="shared" ref="L10:U10" si="5">IF(AND(L4&gt;$D9,L4&lt;$B11),ROUNDDOWN(L4*$F10+$J10,0),0)</f>
        <v>0</v>
      </c>
      <c r="M10" s="22">
        <f t="shared" si="5"/>
        <v>0</v>
      </c>
      <c r="N10" s="22">
        <f t="shared" si="5"/>
        <v>0</v>
      </c>
      <c r="O10" s="22">
        <f t="shared" si="5"/>
        <v>0</v>
      </c>
      <c r="P10" s="22">
        <f t="shared" si="5"/>
        <v>0</v>
      </c>
      <c r="Q10" s="22">
        <f t="shared" si="5"/>
        <v>0</v>
      </c>
      <c r="R10" s="22">
        <f t="shared" si="5"/>
        <v>0</v>
      </c>
      <c r="S10" s="22">
        <f t="shared" si="5"/>
        <v>0</v>
      </c>
      <c r="T10" s="22">
        <f t="shared" si="5"/>
        <v>0</v>
      </c>
      <c r="U10" s="22">
        <f t="shared" si="5"/>
        <v>0</v>
      </c>
    </row>
    <row r="11" spans="2:21" ht="20.25" customHeight="1" thickBot="1">
      <c r="B11" s="9">
        <v>8500000</v>
      </c>
      <c r="C11" s="24" t="s">
        <v>6</v>
      </c>
      <c r="D11" s="10"/>
      <c r="E11" s="25"/>
      <c r="F11" s="26"/>
      <c r="G11" s="27"/>
      <c r="H11" s="24" t="s">
        <v>11</v>
      </c>
      <c r="I11" s="5" t="s">
        <v>10</v>
      </c>
      <c r="J11" s="20">
        <v>-1950000</v>
      </c>
      <c r="K11" s="22">
        <f>IF(K4&gt;$D10,K4+$J11,0)</f>
        <v>0</v>
      </c>
      <c r="L11" s="22">
        <f t="shared" ref="L11:U11" si="6">IF(L4&gt;$D10,L4+$J11,0)</f>
        <v>0</v>
      </c>
      <c r="M11" s="22">
        <f t="shared" si="6"/>
        <v>0</v>
      </c>
      <c r="N11" s="22">
        <f t="shared" si="6"/>
        <v>0</v>
      </c>
      <c r="O11" s="22">
        <f t="shared" si="6"/>
        <v>0</v>
      </c>
      <c r="P11" s="22">
        <f t="shared" si="6"/>
        <v>0</v>
      </c>
      <c r="Q11" s="22">
        <f t="shared" si="6"/>
        <v>0</v>
      </c>
      <c r="R11" s="22">
        <f t="shared" si="6"/>
        <v>0</v>
      </c>
      <c r="S11" s="22">
        <f t="shared" si="6"/>
        <v>0</v>
      </c>
      <c r="T11" s="22">
        <f t="shared" si="6"/>
        <v>0</v>
      </c>
      <c r="U11" s="22">
        <f t="shared" si="6"/>
        <v>0</v>
      </c>
    </row>
    <row r="12" spans="2:21" ht="20.25" customHeight="1" thickBot="1">
      <c r="K12" s="38">
        <f t="shared" ref="K12:U12" si="7">SUM(K6:K11)</f>
        <v>0</v>
      </c>
      <c r="L12" s="31">
        <f t="shared" si="7"/>
        <v>0</v>
      </c>
      <c r="M12" s="31">
        <f t="shared" si="7"/>
        <v>0</v>
      </c>
      <c r="N12" s="31">
        <f t="shared" si="7"/>
        <v>0</v>
      </c>
      <c r="O12" s="52">
        <f t="shared" si="7"/>
        <v>0</v>
      </c>
      <c r="P12" s="31">
        <f t="shared" si="7"/>
        <v>0</v>
      </c>
      <c r="Q12" s="31">
        <f t="shared" si="7"/>
        <v>0</v>
      </c>
      <c r="R12" s="31">
        <f t="shared" si="7"/>
        <v>0</v>
      </c>
      <c r="S12" s="31">
        <f t="shared" si="7"/>
        <v>0</v>
      </c>
      <c r="T12" s="53">
        <f t="shared" si="7"/>
        <v>0</v>
      </c>
      <c r="U12" s="53">
        <f t="shared" si="7"/>
        <v>0</v>
      </c>
    </row>
  </sheetData>
  <sheetProtection selectLockedCells="1" selectUnlockedCells="1"/>
  <mergeCells count="5">
    <mergeCell ref="B5:D5"/>
    <mergeCell ref="E5:J5"/>
    <mergeCell ref="H4:J4"/>
    <mergeCell ref="C3:D3"/>
    <mergeCell ref="K5:U5"/>
  </mergeCells>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1"/>
  </sheetPr>
  <dimension ref="B2:U28"/>
  <sheetViews>
    <sheetView showGridLines="0" zoomScale="85" zoomScaleNormal="85" workbookViewId="0">
      <selection activeCell="O27" sqref="O27"/>
    </sheetView>
  </sheetViews>
  <sheetFormatPr defaultColWidth="9" defaultRowHeight="20.25" customHeight="1"/>
  <cols>
    <col min="1" max="1" width="2.5" style="1" customWidth="1"/>
    <col min="2" max="2" width="3.625" style="1" customWidth="1"/>
    <col min="3" max="3" width="11" style="1" customWidth="1"/>
    <col min="4" max="4" width="3.875" style="1" customWidth="1"/>
    <col min="5" max="5" width="11" style="1" customWidth="1"/>
    <col min="6" max="6" width="5.75" style="3" customWidth="1"/>
    <col min="7" max="7" width="5.5" style="3" customWidth="1"/>
    <col min="8" max="8" width="4.5" style="1" customWidth="1"/>
    <col min="9" max="9" width="3.5" style="2" customWidth="1"/>
    <col min="10" max="10" width="11" style="1" customWidth="1"/>
    <col min="11" max="20" width="11.625" style="1" customWidth="1"/>
    <col min="21" max="26" width="9" style="1" customWidth="1"/>
    <col min="27" max="16384" width="9" style="1"/>
  </cols>
  <sheetData>
    <row r="2" spans="2:21" ht="20.25" customHeight="1">
      <c r="B2" s="33" t="s">
        <v>30</v>
      </c>
    </row>
    <row r="3" spans="2:21" ht="20.25" customHeight="1" thickBot="1">
      <c r="B3" s="329" t="s">
        <v>58</v>
      </c>
      <c r="C3" s="329"/>
      <c r="D3" s="330">
        <f>入力用!S2</f>
        <v>2026</v>
      </c>
      <c r="E3" s="330"/>
      <c r="F3" s="33"/>
      <c r="G3" s="33"/>
      <c r="H3" s="33"/>
      <c r="I3" s="33"/>
      <c r="J3" s="33"/>
      <c r="K3" s="34" t="s">
        <v>13</v>
      </c>
      <c r="L3" s="34" t="s">
        <v>14</v>
      </c>
      <c r="M3" s="34" t="s">
        <v>20</v>
      </c>
      <c r="N3" s="34" t="s">
        <v>21</v>
      </c>
      <c r="O3" s="34" t="s">
        <v>22</v>
      </c>
      <c r="P3" s="34" t="s">
        <v>68</v>
      </c>
      <c r="Q3" s="34" t="s">
        <v>69</v>
      </c>
      <c r="R3" s="34" t="s">
        <v>70</v>
      </c>
      <c r="S3" s="34" t="s">
        <v>71</v>
      </c>
      <c r="T3" s="34" t="s">
        <v>72</v>
      </c>
      <c r="U3" s="34" t="s">
        <v>183</v>
      </c>
    </row>
    <row r="4" spans="2:21" ht="20.25" customHeight="1" thickBot="1">
      <c r="D4"/>
      <c r="E4"/>
      <c r="G4"/>
      <c r="H4"/>
      <c r="I4" s="326" t="s">
        <v>29</v>
      </c>
      <c r="J4" s="325"/>
      <c r="K4" s="30">
        <f>入力用!$R8</f>
        <v>0</v>
      </c>
      <c r="L4" s="30">
        <f>入力用!$R9</f>
        <v>0</v>
      </c>
      <c r="M4" s="30">
        <f>入力用!$R10</f>
        <v>0</v>
      </c>
      <c r="N4" s="30">
        <f>入力用!$R11</f>
        <v>0</v>
      </c>
      <c r="O4" s="50">
        <f>入力用!$R12</f>
        <v>0</v>
      </c>
      <c r="P4" s="30">
        <f>入力用!$R13</f>
        <v>0</v>
      </c>
      <c r="Q4" s="30">
        <f>入力用!$R14</f>
        <v>0</v>
      </c>
      <c r="R4" s="30">
        <f>入力用!$R15</f>
        <v>0</v>
      </c>
      <c r="S4" s="30">
        <f>入力用!$R16</f>
        <v>0</v>
      </c>
      <c r="T4" s="51">
        <f>入力用!$R17</f>
        <v>0</v>
      </c>
      <c r="U4" s="51">
        <f>入力用!$R18</f>
        <v>0</v>
      </c>
    </row>
    <row r="5" spans="2:21" ht="20.25" customHeight="1" thickBot="1">
      <c r="D5"/>
      <c r="E5"/>
      <c r="F5" s="323" t="s">
        <v>27</v>
      </c>
      <c r="G5" s="324"/>
      <c r="H5" s="324"/>
      <c r="I5" s="325"/>
      <c r="J5" s="325"/>
      <c r="K5" s="30">
        <f>入力用!$O8+入力用!$X8</f>
        <v>0</v>
      </c>
      <c r="L5" s="30">
        <f>入力用!$O9+入力用!$X9</f>
        <v>0</v>
      </c>
      <c r="M5" s="30">
        <f>入力用!$O10+入力用!$X10</f>
        <v>0</v>
      </c>
      <c r="N5" s="30">
        <f>入力用!$O11+入力用!$X11</f>
        <v>0</v>
      </c>
      <c r="O5" s="50">
        <f>入力用!$O12+入力用!$X12</f>
        <v>0</v>
      </c>
      <c r="P5" s="30">
        <f>入力用!$O13+入力用!$X13</f>
        <v>0</v>
      </c>
      <c r="Q5" s="30">
        <f>入力用!$O14+入力用!$X14</f>
        <v>0</v>
      </c>
      <c r="R5" s="30">
        <f>入力用!$O15+入力用!$X15</f>
        <v>0</v>
      </c>
      <c r="S5" s="30">
        <f>入力用!$O16+入力用!$X16</f>
        <v>0</v>
      </c>
      <c r="T5" s="51">
        <f>入力用!$O17+入力用!$X17</f>
        <v>0</v>
      </c>
      <c r="U5" s="51">
        <f>入力用!$O18+入力用!$X18</f>
        <v>0</v>
      </c>
    </row>
    <row r="6" spans="2:21" ht="20.25" customHeight="1" thickBot="1">
      <c r="C6" s="331" t="s">
        <v>35</v>
      </c>
      <c r="D6" s="332"/>
      <c r="E6" s="332"/>
      <c r="F6" s="278">
        <f>DATE(D3-65,1,1)</f>
        <v>22282</v>
      </c>
      <c r="G6" s="279"/>
      <c r="H6" s="280"/>
      <c r="I6" s="333" t="s">
        <v>28</v>
      </c>
      <c r="J6" s="334"/>
      <c r="K6" s="163">
        <f>入力用!$H8</f>
        <v>0</v>
      </c>
      <c r="L6" s="163">
        <f>入力用!$H9</f>
        <v>0</v>
      </c>
      <c r="M6" s="163">
        <f>入力用!$H10</f>
        <v>0</v>
      </c>
      <c r="N6" s="163">
        <f>入力用!$H11</f>
        <v>0</v>
      </c>
      <c r="O6" s="164">
        <f>入力用!$H12</f>
        <v>0</v>
      </c>
      <c r="P6" s="163">
        <f>入力用!$H13</f>
        <v>0</v>
      </c>
      <c r="Q6" s="163">
        <f>入力用!$H14</f>
        <v>0</v>
      </c>
      <c r="R6" s="163">
        <f>入力用!$H15</f>
        <v>0</v>
      </c>
      <c r="S6" s="163">
        <f>入力用!$H16</f>
        <v>0</v>
      </c>
      <c r="T6" s="165">
        <f>入力用!$H17</f>
        <v>0</v>
      </c>
      <c r="U6" s="165">
        <f>入力用!$H17</f>
        <v>0</v>
      </c>
    </row>
    <row r="7" spans="2:21" ht="20.25" customHeight="1">
      <c r="C7" s="327" t="s">
        <v>16</v>
      </c>
      <c r="D7" s="311"/>
      <c r="E7" s="312"/>
      <c r="F7" s="327" t="s">
        <v>25</v>
      </c>
      <c r="G7" s="311"/>
      <c r="H7" s="311"/>
      <c r="I7" s="311"/>
      <c r="J7" s="328"/>
      <c r="K7" s="319" t="s">
        <v>26</v>
      </c>
      <c r="L7" s="320"/>
      <c r="M7" s="320"/>
      <c r="N7" s="320"/>
      <c r="O7" s="320"/>
      <c r="P7" s="320"/>
      <c r="Q7" s="320"/>
      <c r="R7" s="320"/>
      <c r="S7" s="320"/>
      <c r="T7" s="320"/>
      <c r="U7" s="321"/>
    </row>
    <row r="8" spans="2:21" ht="20.25" customHeight="1">
      <c r="B8" s="322" t="s">
        <v>33</v>
      </c>
      <c r="C8" s="9">
        <v>0</v>
      </c>
      <c r="D8" s="13" t="s">
        <v>6</v>
      </c>
      <c r="E8" s="14">
        <f t="shared" ref="E8:E11" si="0">C9-1</f>
        <v>3299999</v>
      </c>
      <c r="F8" s="15"/>
      <c r="G8" s="16"/>
      <c r="H8" s="13" t="s">
        <v>17</v>
      </c>
      <c r="I8" s="17" t="s">
        <v>10</v>
      </c>
      <c r="J8" s="11">
        <v>-1100000</v>
      </c>
      <c r="K8" s="54">
        <f>IF(K$6&gt;$F$6,0,IF(K$4&lt;$C9,K$4+$J8,0))</f>
        <v>-1100000</v>
      </c>
      <c r="L8" s="54">
        <f t="shared" ref="L8:N8" si="1">IF(L$6&gt;$F$6,0,IF(L$4&lt;$C9,L$4+$J8,0))</f>
        <v>-1100000</v>
      </c>
      <c r="M8" s="54">
        <f>IF(M$6&gt;$F$6,0,IF(M$4&lt;$C9,M$4+$J8,0))</f>
        <v>-1100000</v>
      </c>
      <c r="N8" s="54">
        <f t="shared" si="1"/>
        <v>-1100000</v>
      </c>
      <c r="O8" s="54">
        <f>IF(O$6&gt;$F$6,0,IF(O$4&lt;$C9,O$4+$J8,0))</f>
        <v>-1100000</v>
      </c>
      <c r="P8" s="54">
        <f t="shared" ref="P8:S8" si="2">IF(P$6&gt;$F$6,0,IF(P$4&lt;$C9,P$4+$J8,0))</f>
        <v>-1100000</v>
      </c>
      <c r="Q8" s="54">
        <f t="shared" si="2"/>
        <v>-1100000</v>
      </c>
      <c r="R8" s="54">
        <f t="shared" si="2"/>
        <v>-1100000</v>
      </c>
      <c r="S8" s="54">
        <f t="shared" si="2"/>
        <v>-1100000</v>
      </c>
      <c r="T8" s="54">
        <f>IF(T$6&gt;$F$6,0,IF(T$4&lt;$C9,T$4+$J8,0))</f>
        <v>-1100000</v>
      </c>
      <c r="U8" s="54">
        <f>IF(U$6&gt;$F$6,0,IF(U$4&lt;$C9,U$4+$J8,0))</f>
        <v>-1100000</v>
      </c>
    </row>
    <row r="9" spans="2:21" ht="20.25" customHeight="1">
      <c r="B9" s="322"/>
      <c r="C9" s="9">
        <v>3300000</v>
      </c>
      <c r="D9" s="13" t="s">
        <v>6</v>
      </c>
      <c r="E9" s="14">
        <f t="shared" si="0"/>
        <v>4099999</v>
      </c>
      <c r="F9" s="12" t="s">
        <v>18</v>
      </c>
      <c r="G9" s="19">
        <v>0.75</v>
      </c>
      <c r="H9" s="18" t="s">
        <v>19</v>
      </c>
      <c r="I9" s="17" t="s">
        <v>10</v>
      </c>
      <c r="J9" s="11">
        <v>-275000</v>
      </c>
      <c r="K9" s="22">
        <f>IF(K$6&gt;$F$6,0,IF(AND(K$4&gt;$E8,K$4&lt;$C10),ROUNDDOWN(K$4*$G9+$J9,0),0))</f>
        <v>0</v>
      </c>
      <c r="L9" s="22">
        <f t="shared" ref="L9:S11" si="3">IF(L$6&gt;$F$6,0,IF(AND(L$4&gt;$E8,L$4&lt;$C10),ROUNDDOWN(L$4*$G9+$J9,0),0))</f>
        <v>0</v>
      </c>
      <c r="M9" s="22">
        <f t="shared" si="3"/>
        <v>0</v>
      </c>
      <c r="N9" s="22">
        <f t="shared" si="3"/>
        <v>0</v>
      </c>
      <c r="O9" s="22">
        <f t="shared" si="3"/>
        <v>0</v>
      </c>
      <c r="P9" s="22">
        <f t="shared" si="3"/>
        <v>0</v>
      </c>
      <c r="Q9" s="22">
        <f t="shared" si="3"/>
        <v>0</v>
      </c>
      <c r="R9" s="22">
        <f t="shared" si="3"/>
        <v>0</v>
      </c>
      <c r="S9" s="22">
        <f t="shared" si="3"/>
        <v>0</v>
      </c>
      <c r="T9" s="22">
        <f t="shared" ref="T9:U11" si="4">IF(T$6&gt;$F$6,0,IF(AND(T$4&gt;$E8,T$4&lt;$C10),ROUNDDOWN(T$4*$G9+$J9,0),0))</f>
        <v>0</v>
      </c>
      <c r="U9" s="22">
        <f t="shared" si="4"/>
        <v>0</v>
      </c>
    </row>
    <row r="10" spans="2:21" ht="20.25" customHeight="1">
      <c r="B10" s="322"/>
      <c r="C10" s="9">
        <v>4100000</v>
      </c>
      <c r="D10" s="13" t="s">
        <v>6</v>
      </c>
      <c r="E10" s="14">
        <f t="shared" si="0"/>
        <v>7699999</v>
      </c>
      <c r="F10" s="12" t="s">
        <v>18</v>
      </c>
      <c r="G10" s="19">
        <v>0.85</v>
      </c>
      <c r="H10" s="18" t="s">
        <v>19</v>
      </c>
      <c r="I10" s="17" t="s">
        <v>10</v>
      </c>
      <c r="J10" s="11">
        <v>-685000</v>
      </c>
      <c r="K10" s="22">
        <f>IF(K$6&gt;$F$6,0,IF(AND(K$4&gt;$E9,K$4&lt;$C11),ROUNDDOWN(K$4*$G10+$J10,0),0))</f>
        <v>0</v>
      </c>
      <c r="L10" s="22">
        <f t="shared" si="3"/>
        <v>0</v>
      </c>
      <c r="M10" s="22">
        <f>IF(M$6&gt;$F$6,0,IF(AND(M$4&gt;$E9,M$4&lt;$C11),ROUNDDOWN(M$4*$G10+$J10,0),0))</f>
        <v>0</v>
      </c>
      <c r="N10" s="22">
        <f t="shared" si="3"/>
        <v>0</v>
      </c>
      <c r="O10" s="22">
        <f t="shared" si="3"/>
        <v>0</v>
      </c>
      <c r="P10" s="22">
        <f t="shared" si="3"/>
        <v>0</v>
      </c>
      <c r="Q10" s="22">
        <f t="shared" si="3"/>
        <v>0</v>
      </c>
      <c r="R10" s="22">
        <f t="shared" si="3"/>
        <v>0</v>
      </c>
      <c r="S10" s="22">
        <f t="shared" si="3"/>
        <v>0</v>
      </c>
      <c r="T10" s="22">
        <f t="shared" si="4"/>
        <v>0</v>
      </c>
      <c r="U10" s="22">
        <f t="shared" si="4"/>
        <v>0</v>
      </c>
    </row>
    <row r="11" spans="2:21" ht="20.25" customHeight="1">
      <c r="B11" s="322"/>
      <c r="C11" s="9">
        <v>7700000</v>
      </c>
      <c r="D11" s="13" t="s">
        <v>6</v>
      </c>
      <c r="E11" s="14">
        <f t="shared" si="0"/>
        <v>9999999</v>
      </c>
      <c r="F11" s="12" t="s">
        <v>18</v>
      </c>
      <c r="G11" s="19">
        <v>0.95</v>
      </c>
      <c r="H11" s="18" t="s">
        <v>19</v>
      </c>
      <c r="I11" s="17" t="s">
        <v>10</v>
      </c>
      <c r="J11" s="11">
        <v>-1455000</v>
      </c>
      <c r="K11" s="22">
        <f>IF(K$6&gt;$F$6,0,IF(AND(K$4&gt;$E10,K$4&lt;$C12),ROUNDDOWN(K$4*$G11+$J11,0),0))</f>
        <v>0</v>
      </c>
      <c r="L11" s="22">
        <f t="shared" si="3"/>
        <v>0</v>
      </c>
      <c r="M11" s="22">
        <f t="shared" si="3"/>
        <v>0</v>
      </c>
      <c r="N11" s="22">
        <f t="shared" si="3"/>
        <v>0</v>
      </c>
      <c r="O11" s="22">
        <f t="shared" si="3"/>
        <v>0</v>
      </c>
      <c r="P11" s="22">
        <f t="shared" si="3"/>
        <v>0</v>
      </c>
      <c r="Q11" s="22">
        <f t="shared" si="3"/>
        <v>0</v>
      </c>
      <c r="R11" s="22">
        <f t="shared" si="3"/>
        <v>0</v>
      </c>
      <c r="S11" s="22">
        <f t="shared" si="3"/>
        <v>0</v>
      </c>
      <c r="T11" s="22">
        <f t="shared" si="4"/>
        <v>0</v>
      </c>
      <c r="U11" s="22">
        <f t="shared" si="4"/>
        <v>0</v>
      </c>
    </row>
    <row r="12" spans="2:21" ht="20.25" customHeight="1">
      <c r="B12" s="322"/>
      <c r="C12" s="9">
        <v>10000000</v>
      </c>
      <c r="D12" s="13" t="s">
        <v>6</v>
      </c>
      <c r="E12" s="14"/>
      <c r="F12" s="15"/>
      <c r="G12" s="16"/>
      <c r="H12" s="13" t="s">
        <v>17</v>
      </c>
      <c r="I12" s="17" t="s">
        <v>10</v>
      </c>
      <c r="J12" s="11">
        <v>-1955000</v>
      </c>
      <c r="K12" s="22">
        <f>IF(K$6&gt;$F$6,0,IF(K$4&gt;$E11,K$4+$J12,0))</f>
        <v>0</v>
      </c>
      <c r="L12" s="22">
        <f t="shared" ref="L12:N12" si="5">IF(L$6&gt;$F$6,0,IF(L$4&gt;$E11,L$4+$J12,0))</f>
        <v>0</v>
      </c>
      <c r="M12" s="22">
        <f t="shared" si="5"/>
        <v>0</v>
      </c>
      <c r="N12" s="22">
        <f t="shared" si="5"/>
        <v>0</v>
      </c>
      <c r="O12" s="22">
        <f>IF(O$6&gt;$F$6,0,IF(O$4&gt;$E11,O$4+$J12,0))</f>
        <v>0</v>
      </c>
      <c r="P12" s="22">
        <f t="shared" ref="P12:S12" si="6">IF(P$6&gt;$F$6,0,IF(P$4&gt;$E11,P$4+$J12,0))</f>
        <v>0</v>
      </c>
      <c r="Q12" s="22">
        <f t="shared" si="6"/>
        <v>0</v>
      </c>
      <c r="R12" s="22">
        <f t="shared" si="6"/>
        <v>0</v>
      </c>
      <c r="S12" s="22">
        <f t="shared" si="6"/>
        <v>0</v>
      </c>
      <c r="T12" s="22">
        <f>IF(T$6&gt;$F$6,0,IF(T$4&gt;$E11,T$4+$J12,0))</f>
        <v>0</v>
      </c>
      <c r="U12" s="22">
        <f>IF(U$6&gt;$F$6,0,IF(U$4&gt;$E11,U$4+$J12,0))</f>
        <v>0</v>
      </c>
    </row>
    <row r="13" spans="2:21" ht="20.25" customHeight="1">
      <c r="B13" s="322" t="s">
        <v>34</v>
      </c>
      <c r="C13" s="9">
        <v>0</v>
      </c>
      <c r="D13" s="13" t="s">
        <v>6</v>
      </c>
      <c r="E13" s="14">
        <f t="shared" ref="E13:E16" si="7">C14-1</f>
        <v>1299999</v>
      </c>
      <c r="F13" s="15"/>
      <c r="G13" s="16"/>
      <c r="H13" s="13" t="s">
        <v>17</v>
      </c>
      <c r="I13" s="17" t="s">
        <v>10</v>
      </c>
      <c r="J13" s="11">
        <v>-600000</v>
      </c>
      <c r="K13" s="22">
        <f>IF(K$6&lt;=$F$6,0,IF(K$4&lt;$C14,K$4+$J13,0))</f>
        <v>0</v>
      </c>
      <c r="L13" s="22">
        <f t="shared" ref="L13:N13" si="8">IF(L$6&lt;=$F$6,0,IF(L$4&lt;$C14,L$4+$J13,0))</f>
        <v>0</v>
      </c>
      <c r="M13" s="22">
        <f t="shared" si="8"/>
        <v>0</v>
      </c>
      <c r="N13" s="22">
        <f t="shared" si="8"/>
        <v>0</v>
      </c>
      <c r="O13" s="22">
        <f>IF(O$6&lt;=$F$6,0,IF(O$4&lt;$C14,O$4+$J13,0))</f>
        <v>0</v>
      </c>
      <c r="P13" s="22">
        <f t="shared" ref="P13:S13" si="9">IF(P$6&lt;=$F$6,0,IF(P$4&lt;$C14,P$4+$J13,0))</f>
        <v>0</v>
      </c>
      <c r="Q13" s="22">
        <f t="shared" si="9"/>
        <v>0</v>
      </c>
      <c r="R13" s="22">
        <f t="shared" si="9"/>
        <v>0</v>
      </c>
      <c r="S13" s="22">
        <f t="shared" si="9"/>
        <v>0</v>
      </c>
      <c r="T13" s="22">
        <f>IF(T$6&lt;=$F$6,0,IF(T$4&lt;$C14,T$4+$J13,0))</f>
        <v>0</v>
      </c>
      <c r="U13" s="22">
        <f>IF(U$6&lt;=$F$6,0,IF(U$4&lt;$C14,U$4+$J13,0))</f>
        <v>0</v>
      </c>
    </row>
    <row r="14" spans="2:21" ht="20.25" customHeight="1">
      <c r="B14" s="322"/>
      <c r="C14" s="9">
        <v>1300000</v>
      </c>
      <c r="D14" s="13" t="s">
        <v>6</v>
      </c>
      <c r="E14" s="14">
        <f t="shared" si="7"/>
        <v>4099999</v>
      </c>
      <c r="F14" s="12" t="s">
        <v>18</v>
      </c>
      <c r="G14" s="19">
        <v>0.75</v>
      </c>
      <c r="H14" s="18" t="s">
        <v>19</v>
      </c>
      <c r="I14" s="17" t="s">
        <v>10</v>
      </c>
      <c r="J14" s="11">
        <v>-275000</v>
      </c>
      <c r="K14" s="22">
        <f>IF(K$6&lt;=$F$6,0,IF(AND(K$4&gt;$E13,K$4&lt;$C15),ROUNDDOWN(K$4*$G14+$J14,0),0))</f>
        <v>0</v>
      </c>
      <c r="L14" s="22">
        <f t="shared" ref="L14:S16" si="10">IF(L$6&lt;=$F$6,0,IF(AND(L$4&gt;$E13,L$4&lt;$C15),ROUNDDOWN(L$4*$G14+$J14,0),0))</f>
        <v>0</v>
      </c>
      <c r="M14" s="22">
        <f t="shared" si="10"/>
        <v>0</v>
      </c>
      <c r="N14" s="22">
        <f t="shared" si="10"/>
        <v>0</v>
      </c>
      <c r="O14" s="22">
        <f t="shared" si="10"/>
        <v>0</v>
      </c>
      <c r="P14" s="22">
        <f t="shared" si="10"/>
        <v>0</v>
      </c>
      <c r="Q14" s="22">
        <f t="shared" si="10"/>
        <v>0</v>
      </c>
      <c r="R14" s="22">
        <f t="shared" si="10"/>
        <v>0</v>
      </c>
      <c r="S14" s="22">
        <f t="shared" si="10"/>
        <v>0</v>
      </c>
      <c r="T14" s="22">
        <f t="shared" ref="T14:U16" si="11">IF(T$6&lt;=$F$6,0,IF(AND(T$4&gt;$E13,T$4&lt;$C15),ROUNDDOWN(T$4*$G14+$J14,0),0))</f>
        <v>0</v>
      </c>
      <c r="U14" s="22">
        <f t="shared" si="11"/>
        <v>0</v>
      </c>
    </row>
    <row r="15" spans="2:21" ht="20.25" customHeight="1">
      <c r="B15" s="322"/>
      <c r="C15" s="9">
        <v>4100000</v>
      </c>
      <c r="D15" s="13" t="s">
        <v>6</v>
      </c>
      <c r="E15" s="14">
        <f t="shared" si="7"/>
        <v>7699999</v>
      </c>
      <c r="F15" s="12" t="s">
        <v>18</v>
      </c>
      <c r="G15" s="19">
        <v>0.85</v>
      </c>
      <c r="H15" s="18" t="s">
        <v>19</v>
      </c>
      <c r="I15" s="17" t="s">
        <v>10</v>
      </c>
      <c r="J15" s="11">
        <v>-685000</v>
      </c>
      <c r="K15" s="22">
        <f>IF(K$6&lt;=$F$6,0,IF(AND(K$4&gt;$E14,K$4&lt;$C16),ROUNDDOWN(K$4*$G15+$J15,0),0))</f>
        <v>0</v>
      </c>
      <c r="L15" s="22">
        <f t="shared" si="10"/>
        <v>0</v>
      </c>
      <c r="M15" s="22">
        <f t="shared" si="10"/>
        <v>0</v>
      </c>
      <c r="N15" s="22">
        <f t="shared" si="10"/>
        <v>0</v>
      </c>
      <c r="O15" s="22">
        <f t="shared" si="10"/>
        <v>0</v>
      </c>
      <c r="P15" s="22">
        <f t="shared" si="10"/>
        <v>0</v>
      </c>
      <c r="Q15" s="22">
        <f t="shared" si="10"/>
        <v>0</v>
      </c>
      <c r="R15" s="22">
        <f t="shared" si="10"/>
        <v>0</v>
      </c>
      <c r="S15" s="22">
        <f t="shared" si="10"/>
        <v>0</v>
      </c>
      <c r="T15" s="22">
        <f t="shared" si="11"/>
        <v>0</v>
      </c>
      <c r="U15" s="22">
        <f t="shared" si="11"/>
        <v>0</v>
      </c>
    </row>
    <row r="16" spans="2:21" ht="20.25" customHeight="1">
      <c r="B16" s="322"/>
      <c r="C16" s="9">
        <v>7700000</v>
      </c>
      <c r="D16" s="13" t="s">
        <v>6</v>
      </c>
      <c r="E16" s="14">
        <f t="shared" si="7"/>
        <v>9999999</v>
      </c>
      <c r="F16" s="12" t="s">
        <v>18</v>
      </c>
      <c r="G16" s="19">
        <v>0.95</v>
      </c>
      <c r="H16" s="18" t="s">
        <v>19</v>
      </c>
      <c r="I16" s="17" t="s">
        <v>10</v>
      </c>
      <c r="J16" s="11">
        <v>-1455000</v>
      </c>
      <c r="K16" s="22">
        <f>IF(K$6&lt;=$F$6,0,IF(AND(K$4&gt;$E15,K$4&lt;$C17),ROUNDDOWN(K$4*$G16+$J16,0),0))</f>
        <v>0</v>
      </c>
      <c r="L16" s="22">
        <f t="shared" si="10"/>
        <v>0</v>
      </c>
      <c r="M16" s="22">
        <f t="shared" si="10"/>
        <v>0</v>
      </c>
      <c r="N16" s="22">
        <f t="shared" si="10"/>
        <v>0</v>
      </c>
      <c r="O16" s="22">
        <f t="shared" si="10"/>
        <v>0</v>
      </c>
      <c r="P16" s="22">
        <f t="shared" si="10"/>
        <v>0</v>
      </c>
      <c r="Q16" s="22">
        <f t="shared" si="10"/>
        <v>0</v>
      </c>
      <c r="R16" s="22">
        <f t="shared" si="10"/>
        <v>0</v>
      </c>
      <c r="S16" s="22">
        <f t="shared" si="10"/>
        <v>0</v>
      </c>
      <c r="T16" s="22">
        <f t="shared" si="11"/>
        <v>0</v>
      </c>
      <c r="U16" s="22">
        <f t="shared" si="11"/>
        <v>0</v>
      </c>
    </row>
    <row r="17" spans="2:21" ht="20.25" customHeight="1">
      <c r="B17" s="322"/>
      <c r="C17" s="9">
        <v>10000000</v>
      </c>
      <c r="D17" s="13" t="s">
        <v>6</v>
      </c>
      <c r="E17" s="14"/>
      <c r="F17" s="15"/>
      <c r="G17" s="16"/>
      <c r="H17" s="13" t="s">
        <v>17</v>
      </c>
      <c r="I17" s="17" t="s">
        <v>10</v>
      </c>
      <c r="J17" s="11">
        <v>-1955000</v>
      </c>
      <c r="K17" s="22">
        <f>IF(K$6&lt;=$F$6,0,IF(K$4&gt;$E16,K$4+$J17,0))</f>
        <v>0</v>
      </c>
      <c r="L17" s="22">
        <f t="shared" ref="L17:N17" si="12">IF(L$6&lt;=$F$6,0,IF(L$4&gt;$E16,L$4+$J17,0))</f>
        <v>0</v>
      </c>
      <c r="M17" s="22">
        <f t="shared" si="12"/>
        <v>0</v>
      </c>
      <c r="N17" s="22">
        <f t="shared" si="12"/>
        <v>0</v>
      </c>
      <c r="O17" s="22">
        <f>IF(O$6&lt;=$F$6,0,IF(O$4&gt;$E16,O$4+$J17,0))</f>
        <v>0</v>
      </c>
      <c r="P17" s="22">
        <f t="shared" ref="P17:S17" si="13">IF(P$6&lt;=$F$6,0,IF(P$4&gt;$E16,P$4+$J17,0))</f>
        <v>0</v>
      </c>
      <c r="Q17" s="22">
        <f t="shared" si="13"/>
        <v>0</v>
      </c>
      <c r="R17" s="22">
        <f t="shared" si="13"/>
        <v>0</v>
      </c>
      <c r="S17" s="22">
        <f t="shared" si="13"/>
        <v>0</v>
      </c>
      <c r="T17" s="22">
        <f>IF(T$6&lt;=$F$6,0,IF(T$4&gt;$E16,T$4+$J17,0))</f>
        <v>0</v>
      </c>
      <c r="U17" s="22">
        <f>IF(U$6&lt;=$F$6,0,IF(U$4&gt;$E16,U$4+$J17,0))</f>
        <v>0</v>
      </c>
    </row>
    <row r="18" spans="2:21" ht="10.5" customHeight="1"/>
    <row r="19" spans="2:21" ht="20.25" customHeight="1">
      <c r="B19" s="1" t="s">
        <v>37</v>
      </c>
    </row>
    <row r="20" spans="2:21" ht="20.25" customHeight="1">
      <c r="C20" s="338" t="s">
        <v>36</v>
      </c>
      <c r="D20" s="339"/>
      <c r="E20" s="340"/>
      <c r="F20" s="319" t="s">
        <v>38</v>
      </c>
      <c r="G20" s="320"/>
      <c r="H20" s="320"/>
      <c r="I20" s="320"/>
      <c r="J20" s="321"/>
      <c r="K20" s="319" t="s">
        <v>43</v>
      </c>
      <c r="L20" s="320"/>
      <c r="M20" s="320"/>
      <c r="N20" s="320"/>
      <c r="O20" s="320"/>
      <c r="P20" s="320"/>
      <c r="Q20" s="320"/>
      <c r="R20" s="320"/>
      <c r="S20" s="320"/>
      <c r="T20" s="320"/>
      <c r="U20" s="321"/>
    </row>
    <row r="21" spans="2:21" ht="20.25" customHeight="1">
      <c r="C21" s="9">
        <v>0</v>
      </c>
      <c r="D21" s="13" t="s">
        <v>6</v>
      </c>
      <c r="E21" s="11">
        <v>10000000</v>
      </c>
      <c r="F21" s="335">
        <v>0</v>
      </c>
      <c r="G21" s="336"/>
      <c r="H21" s="336"/>
      <c r="I21" s="336"/>
      <c r="J21" s="337"/>
      <c r="K21" s="55">
        <f>$F21</f>
        <v>0</v>
      </c>
      <c r="L21" s="55">
        <f t="shared" ref="L21:N21" si="14">$F21</f>
        <v>0</v>
      </c>
      <c r="M21" s="55">
        <f t="shared" si="14"/>
        <v>0</v>
      </c>
      <c r="N21" s="55">
        <f t="shared" si="14"/>
        <v>0</v>
      </c>
      <c r="O21" s="55">
        <f>$F21</f>
        <v>0</v>
      </c>
      <c r="P21" s="55">
        <f t="shared" ref="P21:S21" si="15">$F21</f>
        <v>0</v>
      </c>
      <c r="Q21" s="55">
        <f t="shared" si="15"/>
        <v>0</v>
      </c>
      <c r="R21" s="55">
        <f t="shared" si="15"/>
        <v>0</v>
      </c>
      <c r="S21" s="55">
        <f t="shared" si="15"/>
        <v>0</v>
      </c>
      <c r="T21" s="55">
        <f>$F21</f>
        <v>0</v>
      </c>
      <c r="U21" s="55">
        <f>$F21</f>
        <v>0</v>
      </c>
    </row>
    <row r="22" spans="2:21" ht="20.25" customHeight="1">
      <c r="C22" s="35">
        <f>E21+1</f>
        <v>10000001</v>
      </c>
      <c r="D22" s="13" t="s">
        <v>6</v>
      </c>
      <c r="E22" s="11">
        <v>20000000</v>
      </c>
      <c r="F22" s="335">
        <v>100000</v>
      </c>
      <c r="G22" s="336"/>
      <c r="H22" s="336"/>
      <c r="I22" s="336"/>
      <c r="J22" s="337"/>
      <c r="K22" s="21">
        <f>IF(AND(K$5&gt;$E21,K$5&lt;$C23),$F22,0)</f>
        <v>0</v>
      </c>
      <c r="L22" s="21">
        <f t="shared" ref="L22:N22" si="16">IF(AND(L$5&gt;$E21,L$5&lt;$C23),$F22,0)</f>
        <v>0</v>
      </c>
      <c r="M22" s="21">
        <f>IF(AND(M$5&gt;$E21,M$5&lt;$C23),$F22,0)</f>
        <v>0</v>
      </c>
      <c r="N22" s="21">
        <f t="shared" si="16"/>
        <v>0</v>
      </c>
      <c r="O22" s="21">
        <f t="shared" ref="O22:T22" si="17">IF(AND(O$5&gt;$E21,O$5&lt;$C23),$F22,0)</f>
        <v>0</v>
      </c>
      <c r="P22" s="21">
        <f t="shared" si="17"/>
        <v>0</v>
      </c>
      <c r="Q22" s="21">
        <f t="shared" si="17"/>
        <v>0</v>
      </c>
      <c r="R22" s="21">
        <f t="shared" si="17"/>
        <v>0</v>
      </c>
      <c r="S22" s="21">
        <f t="shared" si="17"/>
        <v>0</v>
      </c>
      <c r="T22" s="21">
        <f t="shared" si="17"/>
        <v>0</v>
      </c>
      <c r="U22" s="21">
        <f t="shared" ref="U22" si="18">IF(AND(U$5&gt;$E21,U$5&lt;$C23),$F22,0)</f>
        <v>0</v>
      </c>
    </row>
    <row r="23" spans="2:21" ht="20.25" customHeight="1" thickBot="1">
      <c r="C23" s="35">
        <f>E22+1</f>
        <v>20000001</v>
      </c>
      <c r="D23" s="13" t="s">
        <v>6</v>
      </c>
      <c r="E23" s="14"/>
      <c r="F23" s="335">
        <v>200000</v>
      </c>
      <c r="G23" s="336"/>
      <c r="H23" s="336"/>
      <c r="I23" s="336"/>
      <c r="J23" s="337"/>
      <c r="K23" s="23">
        <f>IF(K$5&gt;$E22,$F23,0)</f>
        <v>0</v>
      </c>
      <c r="L23" s="23">
        <f t="shared" ref="L23:N23" si="19">IF(L$5&gt;$E22,$F23,0)</f>
        <v>0</v>
      </c>
      <c r="M23" s="23">
        <f t="shared" si="19"/>
        <v>0</v>
      </c>
      <c r="N23" s="23">
        <f t="shared" si="19"/>
        <v>0</v>
      </c>
      <c r="O23" s="23">
        <f>IF(O$5&gt;$E22,$F23,0)</f>
        <v>0</v>
      </c>
      <c r="P23" s="23">
        <f>IF(P$5&gt;$E22,$F23,0)</f>
        <v>0</v>
      </c>
      <c r="Q23" s="23">
        <f>IF(Q$5&gt;$E22,$F23,0)</f>
        <v>0</v>
      </c>
      <c r="R23" s="23">
        <f t="shared" ref="R23:S23" si="20">IF(R$5&gt;$E22,$F23,0)</f>
        <v>0</v>
      </c>
      <c r="S23" s="23">
        <f t="shared" si="20"/>
        <v>0</v>
      </c>
      <c r="T23" s="23">
        <f>IF(T$5&gt;$E22,$F23,0)</f>
        <v>0</v>
      </c>
      <c r="U23" s="23">
        <f>IF(U$5&gt;$E22,$F23,0)</f>
        <v>0</v>
      </c>
    </row>
    <row r="24" spans="2:21" ht="20.25" customHeight="1" thickBot="1">
      <c r="J24" s="3" t="s">
        <v>39</v>
      </c>
      <c r="K24" s="36">
        <f>IF(SUM(K8:K17,K21:K23)&lt;0,0,SUM(K8:K17,K21:K23))</f>
        <v>0</v>
      </c>
      <c r="L24" s="31">
        <f>IF(SUM(L8:L17,L21:L23)&lt;0,0,SUM(L8:L17,L21:L23))</f>
        <v>0</v>
      </c>
      <c r="M24" s="31">
        <f>IF(SUM(M8:M17,M21:M23)&lt;0,0,SUM(M8:M17,M21:M23))</f>
        <v>0</v>
      </c>
      <c r="N24" s="31">
        <f t="shared" ref="N24" si="21">IF(SUM(N8:N17,N21:N23)&lt;0,0,SUM(N8:N17,N21:N23))</f>
        <v>0</v>
      </c>
      <c r="O24" s="37">
        <f>IF(SUM(O8:O17,O21:O23)&lt;0,0,SUM(O8:O17,O21:O23))</f>
        <v>0</v>
      </c>
      <c r="P24" s="37">
        <f t="shared" ref="P24:S24" si="22">IF(SUM(P8:P17,P21:P23)&lt;0,0,SUM(P8:P17,P21:P23))</f>
        <v>0</v>
      </c>
      <c r="Q24" s="37">
        <f t="shared" si="22"/>
        <v>0</v>
      </c>
      <c r="R24" s="37">
        <f t="shared" si="22"/>
        <v>0</v>
      </c>
      <c r="S24" s="37">
        <f t="shared" si="22"/>
        <v>0</v>
      </c>
      <c r="T24" s="39">
        <f>IF(SUM(T8:T17,T21:T23)&lt;0,0,SUM(T8:T17,T21:T23))</f>
        <v>0</v>
      </c>
      <c r="U24" s="39">
        <f>IF(SUM(U8:U17,U21:U23)&lt;0,0,SUM(U8:U17,U21:U23))</f>
        <v>0</v>
      </c>
    </row>
    <row r="28" spans="2:21" ht="20.25" customHeight="1">
      <c r="F28" s="47"/>
      <c r="G28" s="48"/>
      <c r="H28" s="48"/>
    </row>
  </sheetData>
  <sheetProtection selectLockedCells="1" selectUnlockedCells="1"/>
  <mergeCells count="18">
    <mergeCell ref="F23:J23"/>
    <mergeCell ref="C20:E20"/>
    <mergeCell ref="F20:J20"/>
    <mergeCell ref="F21:J21"/>
    <mergeCell ref="F22:J22"/>
    <mergeCell ref="I4:J4"/>
    <mergeCell ref="C7:E7"/>
    <mergeCell ref="F7:J7"/>
    <mergeCell ref="B3:C3"/>
    <mergeCell ref="D3:E3"/>
    <mergeCell ref="C6:E6"/>
    <mergeCell ref="F6:H6"/>
    <mergeCell ref="I6:J6"/>
    <mergeCell ref="K7:U7"/>
    <mergeCell ref="K20:U20"/>
    <mergeCell ref="B8:B12"/>
    <mergeCell ref="B13:B17"/>
    <mergeCell ref="F5:J5"/>
  </mergeCells>
  <phoneticPr fontId="1"/>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1"/>
  </sheetPr>
  <dimension ref="C2:P10"/>
  <sheetViews>
    <sheetView showGridLines="0" zoomScale="85" zoomScaleNormal="85" workbookViewId="0">
      <selection activeCell="I15" sqref="I15"/>
    </sheetView>
  </sheetViews>
  <sheetFormatPr defaultColWidth="9" defaultRowHeight="20.25" customHeight="1"/>
  <cols>
    <col min="1" max="1" width="2.5" style="1" customWidth="1"/>
    <col min="2" max="2" width="3.625" style="1" customWidth="1"/>
    <col min="3" max="3" width="11" style="1" customWidth="1"/>
    <col min="4" max="4" width="3.875" style="1" customWidth="1"/>
    <col min="5" max="5" width="11" style="1" customWidth="1"/>
    <col min="6" max="6" width="15.5" style="1" customWidth="1"/>
    <col min="7" max="16" width="11.625" style="1" customWidth="1"/>
    <col min="17" max="26" width="9" style="1" customWidth="1"/>
    <col min="27" max="16384" width="9" style="1"/>
  </cols>
  <sheetData>
    <row r="2" spans="3:16" ht="20.25" customHeight="1">
      <c r="C2" s="33" t="s">
        <v>30</v>
      </c>
    </row>
    <row r="3" spans="3:16" ht="20.25" customHeight="1" thickBot="1">
      <c r="C3" s="46" t="s">
        <v>58</v>
      </c>
      <c r="D3" s="330">
        <f>入力用!S2</f>
        <v>2026</v>
      </c>
      <c r="E3" s="330"/>
      <c r="F3" s="33"/>
      <c r="G3" s="34" t="s">
        <v>13</v>
      </c>
      <c r="H3" s="34" t="s">
        <v>14</v>
      </c>
      <c r="I3" s="34" t="s">
        <v>20</v>
      </c>
      <c r="J3" s="34" t="s">
        <v>21</v>
      </c>
      <c r="K3" s="34" t="s">
        <v>22</v>
      </c>
      <c r="L3" s="34" t="s">
        <v>68</v>
      </c>
      <c r="M3" s="34" t="s">
        <v>69</v>
      </c>
      <c r="N3" s="34" t="s">
        <v>70</v>
      </c>
      <c r="O3" s="34" t="s">
        <v>71</v>
      </c>
      <c r="P3" s="34" t="s">
        <v>72</v>
      </c>
    </row>
    <row r="4" spans="3:16" ht="20.25" customHeight="1" thickBot="1">
      <c r="D4"/>
      <c r="E4"/>
      <c r="F4" s="42" t="s">
        <v>41</v>
      </c>
      <c r="G4" s="30">
        <f>入力用!$O8+入力用!$U8+入力用!$X8-入力用!$AA8</f>
        <v>0</v>
      </c>
      <c r="H4" s="30">
        <f>入力用!$O9+入力用!$U9+入力用!$X9-入力用!$AA9</f>
        <v>0</v>
      </c>
      <c r="I4" s="30">
        <f>入力用!$O10+入力用!$U10+入力用!$X10-入力用!$AA10</f>
        <v>0</v>
      </c>
      <c r="J4" s="30">
        <f>入力用!$O11+入力用!$U11+入力用!$X11-入力用!$AA11</f>
        <v>0</v>
      </c>
      <c r="K4" s="50">
        <f>入力用!$O12+入力用!$U12+入力用!$X12-入力用!$AA12</f>
        <v>0</v>
      </c>
      <c r="L4" s="30">
        <f>入力用!$O13+入力用!$U13+入力用!$X13-入力用!$AA13</f>
        <v>0</v>
      </c>
      <c r="M4" s="30">
        <f>入力用!$O14+入力用!$U14+入力用!$X14-入力用!$AA14</f>
        <v>0</v>
      </c>
      <c r="N4" s="30">
        <f>入力用!$O15+入力用!$U15+入力用!$X15-入力用!$AA15</f>
        <v>0</v>
      </c>
      <c r="O4" s="30">
        <f>入力用!$O16+入力用!$U16+入力用!$X16-入力用!$AA16</f>
        <v>0</v>
      </c>
      <c r="P4" s="51">
        <f>入力用!$O17+入力用!$U17+入力用!$X17-入力用!$AA17</f>
        <v>0</v>
      </c>
    </row>
    <row r="5" spans="3:16" ht="20.25" customHeight="1">
      <c r="C5" s="308" t="s">
        <v>41</v>
      </c>
      <c r="D5" s="309"/>
      <c r="E5" s="310"/>
      <c r="F5" s="41" t="s">
        <v>42</v>
      </c>
      <c r="G5" s="317" t="s">
        <v>44</v>
      </c>
      <c r="H5" s="318"/>
      <c r="I5" s="318"/>
      <c r="J5" s="318"/>
      <c r="K5" s="318"/>
      <c r="L5" s="318"/>
      <c r="M5" s="318"/>
      <c r="N5" s="318"/>
      <c r="O5" s="318"/>
      <c r="P5" s="341"/>
    </row>
    <row r="6" spans="3:16" ht="20.25" customHeight="1">
      <c r="C6" s="9">
        <v>0</v>
      </c>
      <c r="D6" s="13" t="s">
        <v>6</v>
      </c>
      <c r="E6" s="11">
        <v>24000000</v>
      </c>
      <c r="F6" s="40">
        <v>430000</v>
      </c>
      <c r="G6" s="55">
        <f>IF(G$4&lt;$C7,$F6,0)</f>
        <v>430000</v>
      </c>
      <c r="H6" s="55">
        <f t="shared" ref="H6:J6" si="0">IF(H$4&lt;$C7,$F6,0)</f>
        <v>430000</v>
      </c>
      <c r="I6" s="55">
        <f t="shared" si="0"/>
        <v>430000</v>
      </c>
      <c r="J6" s="55">
        <f t="shared" si="0"/>
        <v>430000</v>
      </c>
      <c r="K6" s="55">
        <f>IF(K$4&lt;$C7,$F6,0)</f>
        <v>430000</v>
      </c>
      <c r="L6" s="55">
        <f t="shared" ref="L6:O6" si="1">IF(L$4&lt;$C7,$F6,0)</f>
        <v>430000</v>
      </c>
      <c r="M6" s="55">
        <f t="shared" si="1"/>
        <v>430000</v>
      </c>
      <c r="N6" s="55">
        <f t="shared" si="1"/>
        <v>430000</v>
      </c>
      <c r="O6" s="55">
        <f t="shared" si="1"/>
        <v>430000</v>
      </c>
      <c r="P6" s="55">
        <f>IF(P$4&lt;$C7,$F6,0)</f>
        <v>430000</v>
      </c>
    </row>
    <row r="7" spans="3:16" ht="20.25" customHeight="1">
      <c r="C7" s="35">
        <f>E6+1</f>
        <v>24000001</v>
      </c>
      <c r="D7" s="13" t="s">
        <v>6</v>
      </c>
      <c r="E7" s="11">
        <v>24500000</v>
      </c>
      <c r="F7" s="40">
        <v>290000</v>
      </c>
      <c r="G7" s="21">
        <f>IF(AND(G$4&gt;$E6,G$4&lt;$C8),$F7,0)</f>
        <v>0</v>
      </c>
      <c r="H7" s="21">
        <f t="shared" ref="H7:J8" si="2">IF(AND(H$4&gt;$E6,H$4&lt;$C8),$F7,0)</f>
        <v>0</v>
      </c>
      <c r="I7" s="21">
        <f t="shared" si="2"/>
        <v>0</v>
      </c>
      <c r="J7" s="21">
        <f t="shared" si="2"/>
        <v>0</v>
      </c>
      <c r="K7" s="21">
        <f>IF(AND(K$4&gt;$E6,K$4&lt;$C8),$F7,0)</f>
        <v>0</v>
      </c>
      <c r="L7" s="21">
        <f t="shared" ref="L7:O8" si="3">IF(AND(L$4&gt;$E6,L$4&lt;$C8),$F7,0)</f>
        <v>0</v>
      </c>
      <c r="M7" s="21">
        <f t="shared" si="3"/>
        <v>0</v>
      </c>
      <c r="N7" s="21">
        <f t="shared" si="3"/>
        <v>0</v>
      </c>
      <c r="O7" s="21">
        <f t="shared" si="3"/>
        <v>0</v>
      </c>
      <c r="P7" s="21">
        <f>IF(AND(P$4&gt;$E6,P$4&lt;$C8),$F7,0)</f>
        <v>0</v>
      </c>
    </row>
    <row r="8" spans="3:16" ht="20.25" customHeight="1">
      <c r="C8" s="35">
        <f>E7+1</f>
        <v>24500001</v>
      </c>
      <c r="D8" s="13" t="s">
        <v>6</v>
      </c>
      <c r="E8" s="11">
        <v>25000000</v>
      </c>
      <c r="F8" s="40">
        <v>150000</v>
      </c>
      <c r="G8" s="21">
        <f>IF(AND(G$4&gt;$E7,G$4&lt;$C9),$F8,0)</f>
        <v>0</v>
      </c>
      <c r="H8" s="21">
        <f t="shared" si="2"/>
        <v>0</v>
      </c>
      <c r="I8" s="21">
        <f t="shared" si="2"/>
        <v>0</v>
      </c>
      <c r="J8" s="21">
        <f t="shared" si="2"/>
        <v>0</v>
      </c>
      <c r="K8" s="21">
        <f>IF(AND(K$4&gt;$E7,K$4&lt;$C9),$F8,0)</f>
        <v>0</v>
      </c>
      <c r="L8" s="21">
        <f t="shared" si="3"/>
        <v>0</v>
      </c>
      <c r="M8" s="21">
        <f t="shared" si="3"/>
        <v>0</v>
      </c>
      <c r="N8" s="21">
        <f t="shared" si="3"/>
        <v>0</v>
      </c>
      <c r="O8" s="21">
        <f t="shared" si="3"/>
        <v>0</v>
      </c>
      <c r="P8" s="21">
        <f>IF(AND(P$4&gt;$E7,P$4&lt;$C9),$F8,0)</f>
        <v>0</v>
      </c>
    </row>
    <row r="9" spans="3:16" ht="20.25" customHeight="1" thickBot="1">
      <c r="C9" s="35">
        <f>E8+1</f>
        <v>25000001</v>
      </c>
      <c r="D9" s="13" t="s">
        <v>6</v>
      </c>
      <c r="E9" s="14"/>
      <c r="F9" s="40">
        <v>0</v>
      </c>
      <c r="G9" s="21">
        <f>$F9</f>
        <v>0</v>
      </c>
      <c r="H9" s="21">
        <f t="shared" ref="H9:J9" si="4">$F9</f>
        <v>0</v>
      </c>
      <c r="I9" s="21">
        <f t="shared" si="4"/>
        <v>0</v>
      </c>
      <c r="J9" s="21">
        <f t="shared" si="4"/>
        <v>0</v>
      </c>
      <c r="K9" s="21">
        <f>$F9</f>
        <v>0</v>
      </c>
      <c r="L9" s="21">
        <f t="shared" ref="L9:O9" si="5">$F9</f>
        <v>0</v>
      </c>
      <c r="M9" s="21">
        <f t="shared" si="5"/>
        <v>0</v>
      </c>
      <c r="N9" s="21">
        <f t="shared" si="5"/>
        <v>0</v>
      </c>
      <c r="O9" s="21">
        <f t="shared" si="5"/>
        <v>0</v>
      </c>
      <c r="P9" s="21">
        <f>$F9</f>
        <v>0</v>
      </c>
    </row>
    <row r="10" spans="3:16" ht="20.25" customHeight="1" thickBot="1">
      <c r="F10" s="3"/>
      <c r="G10" s="38">
        <f>SUM(G6:G9)</f>
        <v>430000</v>
      </c>
      <c r="H10" s="31">
        <f t="shared" ref="H10:J10" si="6">SUM(H6:H9)</f>
        <v>430000</v>
      </c>
      <c r="I10" s="31">
        <f t="shared" si="6"/>
        <v>430000</v>
      </c>
      <c r="J10" s="31">
        <f t="shared" si="6"/>
        <v>430000</v>
      </c>
      <c r="K10" s="52">
        <f>SUM(K6:K9)</f>
        <v>430000</v>
      </c>
      <c r="L10" s="31">
        <f t="shared" ref="L10:O10" si="7">SUM(L6:L9)</f>
        <v>430000</v>
      </c>
      <c r="M10" s="31">
        <f t="shared" si="7"/>
        <v>430000</v>
      </c>
      <c r="N10" s="31">
        <f t="shared" si="7"/>
        <v>430000</v>
      </c>
      <c r="O10" s="31">
        <f t="shared" si="7"/>
        <v>430000</v>
      </c>
      <c r="P10" s="53">
        <f>SUM(P6:P9)</f>
        <v>430000</v>
      </c>
    </row>
  </sheetData>
  <sheetProtection selectLockedCells="1" selectUnlockedCells="1"/>
  <mergeCells count="3">
    <mergeCell ref="C5:E5"/>
    <mergeCell ref="D3:E3"/>
    <mergeCell ref="G5:P5"/>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入力用</vt:lpstr>
      <vt:lpstr>軽減判定</vt:lpstr>
      <vt:lpstr>税額計算</vt:lpstr>
      <vt:lpstr>振分期別表</vt:lpstr>
      <vt:lpstr>給与所得計算</vt:lpstr>
      <vt:lpstr>年金所得計算</vt:lpstr>
      <vt:lpstr>基礎控除計算</vt:lpstr>
      <vt:lpstr>軽減判定!Print_Area</vt:lpstr>
      <vt:lpstr>入力用!Print_Area</vt:lpstr>
    </vt:vector>
  </TitlesOfParts>
  <Company>前橋市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賦課係　須藤</dc:creator>
  <cp:lastModifiedBy>木村 美津穂</cp:lastModifiedBy>
  <cp:lastPrinted>2026-03-25T00:15:21Z</cp:lastPrinted>
  <dcterms:created xsi:type="dcterms:W3CDTF">2021-11-11T04:33:08Z</dcterms:created>
  <dcterms:modified xsi:type="dcterms:W3CDTF">2026-03-27T01:50:13Z</dcterms:modified>
</cp:coreProperties>
</file>